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8.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4.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5.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6.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0.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1.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2.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23.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24.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25.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6.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7.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8.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9.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30.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31.xml" ContentType="application/vnd.openxmlformats-officedocument.drawing+xml"/>
  <Override PartName="/xl/comments1.xml" ContentType="application/vnd.openxmlformats-officedocument.spreadsheetml.comments+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32.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33.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34.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35.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36.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37.xml" ContentType="application/vnd.openxmlformats-officedocument.drawing+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drawings/drawing38.xml" ContentType="application/vnd.openxmlformats-officedocument.drawing+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updateLinks="never"/>
  <mc:AlternateContent xmlns:mc="http://schemas.openxmlformats.org/markup-compatibility/2006">
    <mc:Choice Requires="x15">
      <x15ac:absPath xmlns:x15ac="http://schemas.microsoft.com/office/spreadsheetml/2010/11/ac" url="W:\Repositorio\UAPP\12. Consejo Consultivo Previsional (CCP)\4. INFORME ANUAL\CCP_INFORME 16_2025\"/>
    </mc:Choice>
  </mc:AlternateContent>
  <xr:revisionPtr revIDLastSave="0" documentId="13_ncr:1_{8E71A68F-CDA5-42AA-9DDC-2A83861374FD}" xr6:coauthVersionLast="47" xr6:coauthVersionMax="47" xr10:uidLastSave="{00000000-0000-0000-0000-000000000000}"/>
  <bookViews>
    <workbookView xWindow="-28920" yWindow="-8085" windowWidth="29040" windowHeight="15720" tabRatio="918" activeTab="2" xr2:uid="{00000000-000D-0000-FFFF-FFFF00000000}"/>
    <workbookView xWindow="-28920" yWindow="-8085" windowWidth="29040" windowHeight="15720" xr2:uid="{5F5BF602-36BF-4B35-B1C3-08FC61F1BE35}"/>
  </bookViews>
  <sheets>
    <sheet name="ÍNDICE" sheetId="59" r:id="rId1"/>
    <sheet name="Tabla 1" sheetId="60" r:id="rId2"/>
    <sheet name="Tabla 2" sheetId="32" r:id="rId3"/>
    <sheet name="Tabla 3" sheetId="37" r:id="rId4"/>
    <sheet name="Tabla 4" sheetId="39" r:id="rId5"/>
    <sheet name="Tabla 5 ANTIGUA" sheetId="44" state="hidden" r:id="rId6"/>
    <sheet name="Tabla 5" sheetId="94" r:id="rId7"/>
    <sheet name="Tabla 6" sheetId="40" r:id="rId8"/>
    <sheet name="Tabla 7" sheetId="62" r:id="rId9"/>
    <sheet name="Tabla 8" sheetId="51" r:id="rId10"/>
    <sheet name="Tabla 9" sheetId="58" r:id="rId11"/>
    <sheet name="Tabla 10" sheetId="81" state="hidden" r:id="rId12"/>
    <sheet name="Tabla 11" sheetId="84" state="hidden" r:id="rId13"/>
    <sheet name="Tabla 12" sheetId="85" state="hidden" r:id="rId14"/>
    <sheet name="Tabla 13" sheetId="86" state="hidden" r:id="rId15"/>
    <sheet name="Tabla 1 Anexos" sheetId="63" r:id="rId16"/>
    <sheet name="Tabla 2 Anexos" sheetId="64" r:id="rId17"/>
    <sheet name="Figura 1" sheetId="36" r:id="rId18"/>
    <sheet name="Figura 2" sheetId="52" r:id="rId19"/>
    <sheet name="Figura 3" sheetId="38" r:id="rId20"/>
    <sheet name="Figura 4" sheetId="53" r:id="rId21"/>
    <sheet name="Figura 5" sheetId="48" r:id="rId22"/>
    <sheet name="Figura 6" sheetId="45" r:id="rId23"/>
    <sheet name="Figura 7" sheetId="65" r:id="rId24"/>
    <sheet name="Figura 8" sheetId="54" r:id="rId25"/>
    <sheet name="Figura 9" sheetId="82" r:id="rId26"/>
    <sheet name="Figura 10" sheetId="83" r:id="rId27"/>
    <sheet name="AUX UF" sheetId="91" r:id="rId28"/>
    <sheet name="AUX PIB" sheetId="92" r:id="rId29"/>
    <sheet name="AUX Beneficiarios Mensual" sheetId="93" r:id="rId30"/>
    <sheet name="AUX Gasto Mensual" sheetId="90" r:id="rId31"/>
    <sheet name="AUX Gasto Real" sheetId="88" r:id="rId32"/>
    <sheet name="AUX Gasto Nominal" sheetId="89" r:id="rId33"/>
    <sheet name="AUX Línea de pobreza" sheetId="95" r:id="rId34"/>
    <sheet name="Figura 11" sheetId="66" state="hidden" r:id="rId35"/>
    <sheet name="Figura 12" sheetId="67" state="hidden" r:id="rId36"/>
    <sheet name="Figura 13" sheetId="68" state="hidden" r:id="rId37"/>
    <sheet name="Figura 14" sheetId="69" state="hidden" r:id="rId38"/>
    <sheet name="Figura 15" sheetId="70" state="hidden" r:id="rId39"/>
    <sheet name="Figura 16" sheetId="80" state="hidden" r:id="rId40"/>
    <sheet name="Figuras 17 y 18" sheetId="71" state="hidden" r:id="rId41"/>
    <sheet name="New" sheetId="87" state="hidden" r:id="rId42"/>
    <sheet name="Figura 19" sheetId="72" state="hidden" r:id="rId43"/>
    <sheet name="Figura 20" sheetId="73" state="hidden" r:id="rId44"/>
    <sheet name="Figura 21" sheetId="74" state="hidden" r:id="rId45"/>
    <sheet name="ESI" sheetId="75" state="hidden" r:id="rId46"/>
    <sheet name="Ocupados ENE" sheetId="76" state="hidden" r:id="rId47"/>
    <sheet name="Cot. Dependientes SP" sheetId="77" state="hidden" r:id="rId48"/>
    <sheet name="Cot. Independientes SP" sheetId="78" state="hidden" r:id="rId49"/>
    <sheet name="Cot. Honorarios SP" sheetId="79" state="hidden" r:id="rId50"/>
  </sheets>
  <externalReferences>
    <externalReference r:id="rId51"/>
    <externalReference r:id="rId52"/>
  </externalReferences>
  <definedNames>
    <definedName name="_xlnm._FilterDatabase" localSheetId="37" hidden="1">'Figura 14'!$CS$20:$CT$20</definedName>
    <definedName name="_xlnm._FilterDatabase" localSheetId="42" hidden="1">'Figura 19'!$D$25:$S$25</definedName>
    <definedName name="_Hlk167886621" localSheetId="40">'Figuras 17 y 18'!$B$22</definedName>
    <definedName name="_Hlk167886621" localSheetId="41">New!$B$22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3" i="65" l="1"/>
  <c r="C43" i="65"/>
  <c r="G63" i="52"/>
  <c r="F63" i="52"/>
  <c r="D63" i="52"/>
  <c r="C63" i="52"/>
  <c r="G11" i="32"/>
  <c r="G10" i="32"/>
  <c r="E11" i="32"/>
  <c r="E10" i="32"/>
  <c r="C11" i="32"/>
  <c r="C10" i="32"/>
  <c r="G7" i="32"/>
  <c r="G6" i="32"/>
  <c r="E7" i="32"/>
  <c r="E6" i="32"/>
  <c r="C7" i="32"/>
  <c r="C6" i="32"/>
  <c r="Z205" i="90"/>
  <c r="Z206" i="90"/>
  <c r="Z207" i="90"/>
  <c r="Z208" i="90"/>
  <c r="Z209" i="90"/>
  <c r="Z210" i="90"/>
  <c r="Z211" i="90"/>
  <c r="Z212" i="90"/>
  <c r="C23" i="89" s="1"/>
  <c r="Z213" i="90"/>
  <c r="Z214" i="90"/>
  <c r="Z215" i="90"/>
  <c r="Z216" i="90"/>
  <c r="AB205" i="90"/>
  <c r="AC205" i="90" s="1"/>
  <c r="AH205" i="90"/>
  <c r="AI205" i="90"/>
  <c r="AJ205" i="90"/>
  <c r="AB206" i="90"/>
  <c r="AI206" i="90" s="1"/>
  <c r="AF206" i="90"/>
  <c r="AG206" i="90"/>
  <c r="AH206" i="90"/>
  <c r="AJ206" i="90"/>
  <c r="AB207" i="90"/>
  <c r="AG207" i="90" s="1"/>
  <c r="AD207" i="90"/>
  <c r="AE207" i="90"/>
  <c r="AF207" i="90"/>
  <c r="AH207" i="90"/>
  <c r="AJ207" i="90"/>
  <c r="AB208" i="90"/>
  <c r="AD208" i="90" s="1"/>
  <c r="AC208" i="90"/>
  <c r="AJ208" i="90"/>
  <c r="AK208" i="90"/>
  <c r="AB209" i="90"/>
  <c r="AC209" i="90" s="1"/>
  <c r="AH209" i="90"/>
  <c r="AI209" i="90"/>
  <c r="AJ209" i="90"/>
  <c r="AB210" i="90"/>
  <c r="AI210" i="90" s="1"/>
  <c r="AF210" i="90"/>
  <c r="AG210" i="90"/>
  <c r="AH210" i="90"/>
  <c r="AJ210" i="90"/>
  <c r="AB211" i="90"/>
  <c r="AG211" i="90" s="1"/>
  <c r="AD211" i="90"/>
  <c r="AE211" i="90"/>
  <c r="AF211" i="90"/>
  <c r="AH211" i="90"/>
  <c r="AJ211" i="90"/>
  <c r="AB212" i="90"/>
  <c r="AD212" i="90" s="1"/>
  <c r="AC212" i="90"/>
  <c r="AJ212" i="90"/>
  <c r="AK212" i="90"/>
  <c r="AB213" i="90"/>
  <c r="AC213" i="90" s="1"/>
  <c r="AH213" i="90"/>
  <c r="AI213" i="90"/>
  <c r="AJ213" i="90"/>
  <c r="AB214" i="90"/>
  <c r="AI214" i="90" s="1"/>
  <c r="AF214" i="90"/>
  <c r="AG214" i="90"/>
  <c r="AH214" i="90"/>
  <c r="AJ214" i="90"/>
  <c r="AB215" i="90"/>
  <c r="AG215" i="90" s="1"/>
  <c r="AD215" i="90"/>
  <c r="AE215" i="90"/>
  <c r="AF215" i="90"/>
  <c r="AH215" i="90"/>
  <c r="AJ215" i="90"/>
  <c r="AB216" i="90"/>
  <c r="AD216" i="90" s="1"/>
  <c r="AC216" i="90"/>
  <c r="AJ216" i="90"/>
  <c r="AK216" i="90"/>
  <c r="B205" i="90"/>
  <c r="B206" i="90"/>
  <c r="B207" i="90"/>
  <c r="B208" i="90"/>
  <c r="B209" i="90"/>
  <c r="B210" i="90"/>
  <c r="B211" i="90"/>
  <c r="B212" i="90"/>
  <c r="B213" i="90"/>
  <c r="B214" i="90"/>
  <c r="B215" i="90"/>
  <c r="B216" i="90"/>
  <c r="B205" i="93"/>
  <c r="B206" i="93"/>
  <c r="B207" i="93"/>
  <c r="B208" i="93"/>
  <c r="B209" i="93"/>
  <c r="B210" i="93"/>
  <c r="B211" i="93"/>
  <c r="B212" i="93"/>
  <c r="B213" i="93"/>
  <c r="B214" i="93"/>
  <c r="B215" i="93"/>
  <c r="B216" i="93"/>
  <c r="K25" i="60"/>
  <c r="E22" i="92"/>
  <c r="D22" i="92"/>
  <c r="F39" i="52"/>
  <c r="E39" i="52"/>
  <c r="D39" i="52"/>
  <c r="C39" i="52"/>
  <c r="D24" i="83"/>
  <c r="D25" i="83"/>
  <c r="D26" i="83"/>
  <c r="D27" i="83"/>
  <c r="D28" i="83"/>
  <c r="D29" i="83"/>
  <c r="D30" i="83"/>
  <c r="D31" i="83"/>
  <c r="D32" i="83"/>
  <c r="D33" i="83"/>
  <c r="D34" i="83"/>
  <c r="D35" i="83"/>
  <c r="D36" i="83"/>
  <c r="D37" i="83"/>
  <c r="D38" i="83"/>
  <c r="D39" i="83"/>
  <c r="D40" i="83"/>
  <c r="D23" i="83"/>
  <c r="C24" i="83"/>
  <c r="C25" i="83"/>
  <c r="C26" i="83"/>
  <c r="C27" i="83"/>
  <c r="C28" i="83"/>
  <c r="C29" i="83"/>
  <c r="C30" i="83"/>
  <c r="C31" i="83"/>
  <c r="C32" i="83"/>
  <c r="C33" i="83"/>
  <c r="C34" i="83"/>
  <c r="C35" i="83"/>
  <c r="C36" i="83"/>
  <c r="C37" i="83"/>
  <c r="C38" i="83"/>
  <c r="C39" i="83"/>
  <c r="C40" i="83"/>
  <c r="C23" i="83"/>
  <c r="I22" i="82"/>
  <c r="H22" i="82"/>
  <c r="F22" i="82"/>
  <c r="G22" i="82"/>
  <c r="E22" i="82"/>
  <c r="D22" i="82"/>
  <c r="C22" i="82"/>
  <c r="D24" i="54"/>
  <c r="E24" i="54"/>
  <c r="F24" i="54"/>
  <c r="C24" i="54"/>
  <c r="S45" i="38"/>
  <c r="T45" i="38"/>
  <c r="M45" i="38"/>
  <c r="O45" i="38" s="1"/>
  <c r="N45" i="38"/>
  <c r="C45" i="38"/>
  <c r="D45" i="38"/>
  <c r="E45" i="38"/>
  <c r="F45" i="38"/>
  <c r="D21" i="39"/>
  <c r="E21" i="39"/>
  <c r="E39" i="53" s="1"/>
  <c r="G21" i="39"/>
  <c r="D21" i="37"/>
  <c r="H40" i="36" s="1"/>
  <c r="E21" i="37"/>
  <c r="F40" i="52" s="1"/>
  <c r="F21" i="37"/>
  <c r="F38" i="52" s="1"/>
  <c r="G21" i="37"/>
  <c r="H21" i="37"/>
  <c r="F41" i="52" s="1"/>
  <c r="I21" i="37"/>
  <c r="I25" i="60"/>
  <c r="J25" i="60"/>
  <c r="D22" i="58"/>
  <c r="F22" i="58"/>
  <c r="G22" i="58"/>
  <c r="I22" i="58"/>
  <c r="C22" i="58"/>
  <c r="E22" i="58"/>
  <c r="C21" i="40"/>
  <c r="D21" i="40"/>
  <c r="F21" i="40"/>
  <c r="G21" i="94"/>
  <c r="H21" i="94"/>
  <c r="J126" i="95"/>
  <c r="K126" i="95" s="1"/>
  <c r="J127" i="95"/>
  <c r="K127" i="95" s="1"/>
  <c r="J128" i="95"/>
  <c r="L128" i="95" s="1"/>
  <c r="K128" i="95"/>
  <c r="J129" i="95"/>
  <c r="K129" i="95" s="1"/>
  <c r="J130" i="95"/>
  <c r="L130" i="95" s="1"/>
  <c r="K130" i="95"/>
  <c r="J131" i="95"/>
  <c r="K131" i="95" s="1"/>
  <c r="J132" i="95"/>
  <c r="L132" i="95" s="1"/>
  <c r="J133" i="95"/>
  <c r="K133" i="95" s="1"/>
  <c r="J134" i="95"/>
  <c r="L134" i="95" s="1"/>
  <c r="J135" i="95"/>
  <c r="K135" i="95" s="1"/>
  <c r="J136" i="95"/>
  <c r="L136" i="95" s="1"/>
  <c r="K136" i="95"/>
  <c r="J137" i="95"/>
  <c r="K137" i="95" s="1"/>
  <c r="H126" i="95"/>
  <c r="H127" i="95"/>
  <c r="H128" i="95"/>
  <c r="H129" i="95"/>
  <c r="H130" i="95"/>
  <c r="H131" i="95"/>
  <c r="H132" i="95"/>
  <c r="H133" i="95"/>
  <c r="H134" i="95"/>
  <c r="H135" i="95"/>
  <c r="H136" i="95"/>
  <c r="H137" i="95"/>
  <c r="B126" i="95"/>
  <c r="B127" i="95"/>
  <c r="B128" i="95"/>
  <c r="B129" i="95"/>
  <c r="B130" i="95"/>
  <c r="B131" i="95"/>
  <c r="B132" i="95"/>
  <c r="B133" i="95"/>
  <c r="B134" i="95"/>
  <c r="B135" i="95"/>
  <c r="B136" i="95"/>
  <c r="B137" i="95"/>
  <c r="I126" i="95"/>
  <c r="I127" i="95"/>
  <c r="I128" i="95"/>
  <c r="I129" i="95"/>
  <c r="I130" i="95"/>
  <c r="I131" i="95"/>
  <c r="I132" i="95"/>
  <c r="I133" i="95"/>
  <c r="I134" i="95"/>
  <c r="I135" i="95"/>
  <c r="I136" i="95"/>
  <c r="I137" i="95"/>
  <c r="C23" i="88"/>
  <c r="D23" i="88"/>
  <c r="D21" i="51" s="1"/>
  <c r="F23" i="88"/>
  <c r="I23" i="88" s="1"/>
  <c r="I21" i="51" s="1"/>
  <c r="G23" i="88"/>
  <c r="G21" i="51" s="1"/>
  <c r="H23" i="88"/>
  <c r="H21" i="51" s="1"/>
  <c r="M5" i="91"/>
  <c r="E43" i="65"/>
  <c r="E40" i="36"/>
  <c r="F40" i="36"/>
  <c r="C40" i="36"/>
  <c r="I43" i="65" l="1"/>
  <c r="I63" i="52"/>
  <c r="P23" i="88"/>
  <c r="O23" i="88"/>
  <c r="H23" i="89"/>
  <c r="H21" i="62" s="1"/>
  <c r="G23" i="89"/>
  <c r="G21" i="62" s="1"/>
  <c r="F23" i="89"/>
  <c r="F21" i="62" s="1"/>
  <c r="D23" i="89"/>
  <c r="D21" i="62" s="1"/>
  <c r="AI216" i="90"/>
  <c r="AK215" i="90"/>
  <c r="AC215" i="90"/>
  <c r="AE214" i="90"/>
  <c r="AG213" i="90"/>
  <c r="AI212" i="90"/>
  <c r="AK211" i="90"/>
  <c r="AC211" i="90"/>
  <c r="AE210" i="90"/>
  <c r="AG209" i="90"/>
  <c r="AI208" i="90"/>
  <c r="AK207" i="90"/>
  <c r="AC207" i="90"/>
  <c r="AE206" i="90"/>
  <c r="AG205" i="90"/>
  <c r="AH216" i="90"/>
  <c r="AD214" i="90"/>
  <c r="AF213" i="90"/>
  <c r="AH212" i="90"/>
  <c r="AD210" i="90"/>
  <c r="AF209" i="90"/>
  <c r="AH208" i="90"/>
  <c r="AD206" i="90"/>
  <c r="AF205" i="90"/>
  <c r="AG216" i="90"/>
  <c r="AI215" i="90"/>
  <c r="AK214" i="90"/>
  <c r="AC214" i="90"/>
  <c r="AE213" i="90"/>
  <c r="AG212" i="90"/>
  <c r="AI211" i="90"/>
  <c r="AK210" i="90"/>
  <c r="AC210" i="90"/>
  <c r="AE209" i="90"/>
  <c r="AG208" i="90"/>
  <c r="AI207" i="90"/>
  <c r="AK206" i="90"/>
  <c r="AC206" i="90"/>
  <c r="AE205" i="90"/>
  <c r="AF216" i="90"/>
  <c r="AD213" i="90"/>
  <c r="AF212" i="90"/>
  <c r="AD209" i="90"/>
  <c r="AF208" i="90"/>
  <c r="AD205" i="90"/>
  <c r="AE216" i="90"/>
  <c r="AK213" i="90"/>
  <c r="AE212" i="90"/>
  <c r="AK209" i="90"/>
  <c r="AE208" i="90"/>
  <c r="AK205" i="90"/>
  <c r="E23" i="88"/>
  <c r="E21" i="51" s="1"/>
  <c r="I23" i="89"/>
  <c r="F21" i="51"/>
  <c r="C21" i="62"/>
  <c r="C21" i="51"/>
  <c r="F21" i="39"/>
  <c r="H21" i="39" s="1"/>
  <c r="D40" i="36"/>
  <c r="E21" i="40"/>
  <c r="G21" i="40" s="1"/>
  <c r="H63" i="52"/>
  <c r="U45" i="38"/>
  <c r="G45" i="38"/>
  <c r="G40" i="36"/>
  <c r="F37" i="52"/>
  <c r="D39" i="53"/>
  <c r="F39" i="53" s="1"/>
  <c r="J22" i="58"/>
  <c r="H22" i="58"/>
  <c r="M137" i="95"/>
  <c r="M135" i="95"/>
  <c r="M133" i="95"/>
  <c r="M131" i="95"/>
  <c r="M129" i="95"/>
  <c r="M127" i="95"/>
  <c r="L137" i="95"/>
  <c r="I21" i="94" s="1"/>
  <c r="L135" i="95"/>
  <c r="L133" i="95"/>
  <c r="L131" i="95"/>
  <c r="L129" i="95"/>
  <c r="L127" i="95"/>
  <c r="K134" i="95"/>
  <c r="K132" i="95"/>
  <c r="M136" i="95"/>
  <c r="M134" i="95"/>
  <c r="M132" i="95"/>
  <c r="M130" i="95"/>
  <c r="M128" i="95"/>
  <c r="M126" i="95"/>
  <c r="L126" i="95"/>
  <c r="J23" i="88"/>
  <c r="H43" i="65"/>
  <c r="C21" i="58"/>
  <c r="E21" i="58"/>
  <c r="F21" i="58"/>
  <c r="G21" i="58"/>
  <c r="H21" i="58"/>
  <c r="I21" i="58"/>
  <c r="C4" i="39"/>
  <c r="D4" i="39"/>
  <c r="G4" i="39"/>
  <c r="C24" i="36"/>
  <c r="C25" i="36"/>
  <c r="C26" i="36"/>
  <c r="C27" i="36"/>
  <c r="C28" i="36"/>
  <c r="C29" i="36"/>
  <c r="C30" i="36"/>
  <c r="C31" i="36"/>
  <c r="C32" i="36"/>
  <c r="C33" i="36"/>
  <c r="C34" i="36"/>
  <c r="C35" i="36"/>
  <c r="C36" i="36"/>
  <c r="C37" i="36"/>
  <c r="C38" i="36"/>
  <c r="C39" i="36"/>
  <c r="C23" i="36"/>
  <c r="E39" i="36"/>
  <c r="E38" i="36"/>
  <c r="E37" i="36"/>
  <c r="D36" i="36"/>
  <c r="D35" i="36"/>
  <c r="D34" i="36"/>
  <c r="D33" i="36"/>
  <c r="D32" i="36"/>
  <c r="D31" i="36"/>
  <c r="D30" i="36"/>
  <c r="D29" i="36"/>
  <c r="D28" i="36"/>
  <c r="D27" i="36"/>
  <c r="D26" i="36"/>
  <c r="D25" i="36"/>
  <c r="D24" i="36"/>
  <c r="D23" i="36"/>
  <c r="AK8" i="90"/>
  <c r="AK9" i="90"/>
  <c r="AK10" i="90"/>
  <c r="AK11" i="90"/>
  <c r="AK12" i="90"/>
  <c r="AK13" i="90"/>
  <c r="AK14" i="90"/>
  <c r="AK15" i="90"/>
  <c r="AK16" i="90"/>
  <c r="AK17" i="90"/>
  <c r="AK18" i="90"/>
  <c r="AK19" i="90"/>
  <c r="AK20" i="90"/>
  <c r="AK21" i="90"/>
  <c r="AK22" i="90"/>
  <c r="AK23" i="90"/>
  <c r="AK24" i="90"/>
  <c r="AK25" i="90"/>
  <c r="AK26" i="90"/>
  <c r="AK27" i="90"/>
  <c r="AK28" i="90"/>
  <c r="AK29" i="90"/>
  <c r="AK30" i="90"/>
  <c r="AK31" i="90"/>
  <c r="AK32" i="90"/>
  <c r="AK33" i="90"/>
  <c r="AK34" i="90"/>
  <c r="AK35" i="90"/>
  <c r="AK36" i="90"/>
  <c r="AK37" i="90"/>
  <c r="AK38" i="90"/>
  <c r="AK39" i="90"/>
  <c r="AK40" i="90"/>
  <c r="AK41" i="90"/>
  <c r="AK42" i="90"/>
  <c r="AK43" i="90"/>
  <c r="AK44" i="90"/>
  <c r="AK45" i="90"/>
  <c r="AK46" i="90"/>
  <c r="AK47" i="90"/>
  <c r="AK48" i="90"/>
  <c r="AK49" i="90"/>
  <c r="AK50" i="90"/>
  <c r="AK51" i="90"/>
  <c r="AK52" i="90"/>
  <c r="AK53" i="90"/>
  <c r="AK54" i="90"/>
  <c r="AK55" i="90"/>
  <c r="AK56" i="90"/>
  <c r="AK57" i="90"/>
  <c r="AK58" i="90"/>
  <c r="AK59" i="90"/>
  <c r="AK60" i="90"/>
  <c r="AK61" i="90"/>
  <c r="AK62" i="90"/>
  <c r="AK63" i="90"/>
  <c r="AK64" i="90"/>
  <c r="AK65" i="90"/>
  <c r="AK66" i="90"/>
  <c r="AK67" i="90"/>
  <c r="AK68" i="90"/>
  <c r="AK69" i="90"/>
  <c r="AK70" i="90"/>
  <c r="AK71" i="90"/>
  <c r="AK72" i="90"/>
  <c r="AK73" i="90"/>
  <c r="AK74" i="90"/>
  <c r="AK75" i="90"/>
  <c r="AK76" i="90"/>
  <c r="AK77" i="90"/>
  <c r="AK78" i="90"/>
  <c r="AK79" i="90"/>
  <c r="AK80" i="90"/>
  <c r="AK81" i="90"/>
  <c r="AK82" i="90"/>
  <c r="AK83" i="90"/>
  <c r="AK84" i="90"/>
  <c r="AK85" i="90"/>
  <c r="AK86" i="90"/>
  <c r="AK87" i="90"/>
  <c r="AK88" i="90"/>
  <c r="AK89" i="90"/>
  <c r="AK90" i="90"/>
  <c r="AK91" i="90"/>
  <c r="AK92" i="90"/>
  <c r="AK93" i="90"/>
  <c r="AK94" i="90"/>
  <c r="AK95" i="90"/>
  <c r="AK96" i="90"/>
  <c r="AK97" i="90"/>
  <c r="AK98" i="90"/>
  <c r="AK99" i="90"/>
  <c r="AK100" i="90"/>
  <c r="AK101" i="90"/>
  <c r="AK102" i="90"/>
  <c r="AK103" i="90"/>
  <c r="AK104" i="90"/>
  <c r="AK105" i="90"/>
  <c r="AK106" i="90"/>
  <c r="AK107" i="90"/>
  <c r="AK108" i="90"/>
  <c r="AK109" i="90"/>
  <c r="AK110" i="90"/>
  <c r="AK111" i="90"/>
  <c r="AK112" i="90"/>
  <c r="AK113" i="90"/>
  <c r="AK114" i="90"/>
  <c r="AK115" i="90"/>
  <c r="AK116" i="90"/>
  <c r="AK117" i="90"/>
  <c r="AK118" i="90"/>
  <c r="AK119" i="90"/>
  <c r="AK120" i="90"/>
  <c r="AK121" i="90"/>
  <c r="AK122" i="90"/>
  <c r="AK123" i="90"/>
  <c r="AK124" i="90"/>
  <c r="AK125" i="90"/>
  <c r="AK126" i="90"/>
  <c r="AK127" i="90"/>
  <c r="AK128" i="90"/>
  <c r="AK129" i="90"/>
  <c r="AK130" i="90"/>
  <c r="AK131" i="90"/>
  <c r="AK132" i="90"/>
  <c r="AK133" i="90"/>
  <c r="AK134" i="90"/>
  <c r="AK135" i="90"/>
  <c r="AK136" i="90"/>
  <c r="AK137" i="90"/>
  <c r="AK138" i="90"/>
  <c r="AK139" i="90"/>
  <c r="AK140" i="90"/>
  <c r="AK141" i="90"/>
  <c r="AK142" i="90"/>
  <c r="AK143" i="90"/>
  <c r="AK144" i="90"/>
  <c r="AK145" i="90"/>
  <c r="AK146" i="90"/>
  <c r="AK147" i="90"/>
  <c r="AK148" i="90"/>
  <c r="AK149" i="90"/>
  <c r="AK150" i="90"/>
  <c r="AK151" i="90"/>
  <c r="AK152" i="90"/>
  <c r="AK153" i="90"/>
  <c r="AK154" i="90"/>
  <c r="AK155" i="90"/>
  <c r="AK156" i="90"/>
  <c r="AK157" i="90"/>
  <c r="AK158" i="90"/>
  <c r="AK159" i="90"/>
  <c r="AK160" i="90"/>
  <c r="AK161" i="90"/>
  <c r="AK162" i="90"/>
  <c r="AK163" i="90"/>
  <c r="AK164" i="90"/>
  <c r="AK165" i="90"/>
  <c r="AK166" i="90"/>
  <c r="AK167" i="90"/>
  <c r="AK168" i="90"/>
  <c r="AK169" i="90"/>
  <c r="AK170" i="90"/>
  <c r="AK171" i="90"/>
  <c r="AK172" i="90"/>
  <c r="AK173" i="90"/>
  <c r="AK174" i="90"/>
  <c r="AK175" i="90"/>
  <c r="AK176" i="90"/>
  <c r="AK177" i="90"/>
  <c r="AK178" i="90"/>
  <c r="AK179" i="90"/>
  <c r="AK180" i="90"/>
  <c r="AK181" i="90"/>
  <c r="AK182" i="90"/>
  <c r="AK183" i="90"/>
  <c r="AK184" i="90"/>
  <c r="AK185" i="90"/>
  <c r="AK186" i="90"/>
  <c r="AK187" i="90"/>
  <c r="AK188" i="90"/>
  <c r="AK189" i="90"/>
  <c r="AK190" i="90"/>
  <c r="AK191" i="90"/>
  <c r="AK192" i="90"/>
  <c r="AK193" i="90"/>
  <c r="AK194" i="90"/>
  <c r="AK195" i="90"/>
  <c r="AK196" i="90"/>
  <c r="AK197" i="90"/>
  <c r="AK198" i="90"/>
  <c r="AK199" i="90"/>
  <c r="AK200" i="90"/>
  <c r="AK201" i="90"/>
  <c r="AK202" i="90"/>
  <c r="AK203" i="90"/>
  <c r="AK204" i="90"/>
  <c r="AJ7" i="90"/>
  <c r="AK7" i="90"/>
  <c r="AJ8" i="90"/>
  <c r="AJ9" i="90"/>
  <c r="AJ10" i="90"/>
  <c r="AJ11" i="90"/>
  <c r="AJ12" i="90"/>
  <c r="AJ13" i="90"/>
  <c r="AJ14" i="90"/>
  <c r="AJ15" i="90"/>
  <c r="AJ16" i="90"/>
  <c r="AJ17" i="90"/>
  <c r="AJ18" i="90"/>
  <c r="AJ19" i="90"/>
  <c r="AJ20" i="90"/>
  <c r="AJ21" i="90"/>
  <c r="AJ22" i="90"/>
  <c r="AJ23" i="90"/>
  <c r="AJ24" i="90"/>
  <c r="AJ25" i="90"/>
  <c r="AJ26" i="90"/>
  <c r="AJ27" i="90"/>
  <c r="AJ28" i="90"/>
  <c r="AJ29" i="90"/>
  <c r="AJ30" i="90"/>
  <c r="AJ31" i="90"/>
  <c r="AJ32" i="90"/>
  <c r="AJ33" i="90"/>
  <c r="AJ34" i="90"/>
  <c r="AJ35" i="90"/>
  <c r="AJ36" i="90"/>
  <c r="AJ37" i="90"/>
  <c r="AJ38" i="90"/>
  <c r="AJ39" i="90"/>
  <c r="AJ40" i="90"/>
  <c r="AJ41" i="90"/>
  <c r="AJ42" i="90"/>
  <c r="AJ43" i="90"/>
  <c r="AJ44" i="90"/>
  <c r="AJ45" i="90"/>
  <c r="AJ46" i="90"/>
  <c r="AJ47" i="90"/>
  <c r="AJ48" i="90"/>
  <c r="AJ49" i="90"/>
  <c r="AJ50" i="90"/>
  <c r="AJ51" i="90"/>
  <c r="AJ52" i="90"/>
  <c r="AJ53" i="90"/>
  <c r="AJ54" i="90"/>
  <c r="AJ55" i="90"/>
  <c r="AJ56" i="90"/>
  <c r="AJ57" i="90"/>
  <c r="AJ58" i="90"/>
  <c r="AJ59" i="90"/>
  <c r="AJ60" i="90"/>
  <c r="AJ61" i="90"/>
  <c r="AJ62" i="90"/>
  <c r="AJ63" i="90"/>
  <c r="AJ64" i="90"/>
  <c r="AJ65" i="90"/>
  <c r="AJ66" i="90"/>
  <c r="AJ67" i="90"/>
  <c r="AJ68" i="90"/>
  <c r="AJ69" i="90"/>
  <c r="AJ70" i="90"/>
  <c r="AJ71" i="90"/>
  <c r="AJ72" i="90"/>
  <c r="AJ73" i="90"/>
  <c r="AJ74" i="90"/>
  <c r="AJ75" i="90"/>
  <c r="AJ76" i="90"/>
  <c r="AJ77" i="90"/>
  <c r="AJ78" i="90"/>
  <c r="AJ79" i="90"/>
  <c r="AJ80" i="90"/>
  <c r="AJ81" i="90"/>
  <c r="AJ82" i="90"/>
  <c r="AJ83" i="90"/>
  <c r="AJ84" i="90"/>
  <c r="AJ85" i="90"/>
  <c r="AJ86" i="90"/>
  <c r="AJ87" i="90"/>
  <c r="AJ88" i="90"/>
  <c r="AJ89" i="90"/>
  <c r="AJ90" i="90"/>
  <c r="AJ91" i="90"/>
  <c r="AJ92" i="90"/>
  <c r="AJ93" i="90"/>
  <c r="AJ94" i="90"/>
  <c r="AJ95" i="90"/>
  <c r="AJ96" i="90"/>
  <c r="AJ97" i="90"/>
  <c r="AJ98" i="90"/>
  <c r="AJ99" i="90"/>
  <c r="AJ100" i="90"/>
  <c r="AJ101" i="90"/>
  <c r="AJ102" i="90"/>
  <c r="AJ103" i="90"/>
  <c r="AJ104" i="90"/>
  <c r="AJ105" i="90"/>
  <c r="AJ106" i="90"/>
  <c r="AJ107" i="90"/>
  <c r="AJ108" i="90"/>
  <c r="AJ109" i="90"/>
  <c r="AJ110" i="90"/>
  <c r="AJ111" i="90"/>
  <c r="AJ112" i="90"/>
  <c r="AJ113" i="90"/>
  <c r="AJ114" i="90"/>
  <c r="AJ115" i="90"/>
  <c r="AJ116" i="90"/>
  <c r="AJ117" i="90"/>
  <c r="AJ118" i="90"/>
  <c r="AJ119" i="90"/>
  <c r="AJ120" i="90"/>
  <c r="AJ121" i="90"/>
  <c r="AJ122" i="90"/>
  <c r="AJ123" i="90"/>
  <c r="AJ124" i="90"/>
  <c r="AJ125" i="90"/>
  <c r="AJ126" i="90"/>
  <c r="AJ127" i="90"/>
  <c r="AJ128" i="90"/>
  <c r="AJ129" i="90"/>
  <c r="AJ130" i="90"/>
  <c r="AJ131" i="90"/>
  <c r="AJ132" i="90"/>
  <c r="AJ133" i="90"/>
  <c r="AJ134" i="90"/>
  <c r="AJ135" i="90"/>
  <c r="AJ136" i="90"/>
  <c r="AJ137" i="90"/>
  <c r="AJ138" i="90"/>
  <c r="AJ139" i="90"/>
  <c r="AJ140" i="90"/>
  <c r="AJ141" i="90"/>
  <c r="AJ142" i="90"/>
  <c r="AJ143" i="90"/>
  <c r="AJ144" i="90"/>
  <c r="AJ145" i="90"/>
  <c r="AJ146" i="90"/>
  <c r="AJ147" i="90"/>
  <c r="AJ148" i="90"/>
  <c r="AJ149" i="90"/>
  <c r="AJ150" i="90"/>
  <c r="AJ151" i="90"/>
  <c r="AJ152" i="90"/>
  <c r="AJ153" i="90"/>
  <c r="AJ154" i="90"/>
  <c r="AJ155" i="90"/>
  <c r="AJ156" i="90"/>
  <c r="AJ157" i="90"/>
  <c r="AJ158" i="90"/>
  <c r="AJ159" i="90"/>
  <c r="AJ160" i="90"/>
  <c r="AJ161" i="90"/>
  <c r="AJ162" i="90"/>
  <c r="AJ163" i="90"/>
  <c r="AJ164" i="90"/>
  <c r="AJ165" i="90"/>
  <c r="AJ166" i="90"/>
  <c r="AJ167" i="90"/>
  <c r="AJ168" i="90"/>
  <c r="AJ169" i="90"/>
  <c r="AJ170" i="90"/>
  <c r="AJ171" i="90"/>
  <c r="AJ172" i="90"/>
  <c r="AJ173" i="90"/>
  <c r="AJ174" i="90"/>
  <c r="AJ175" i="90"/>
  <c r="AJ176" i="90"/>
  <c r="AJ177" i="90"/>
  <c r="AJ178" i="90"/>
  <c r="AJ179" i="90"/>
  <c r="AJ180" i="90"/>
  <c r="AJ181" i="90"/>
  <c r="AJ182" i="90"/>
  <c r="AJ183" i="90"/>
  <c r="AJ184" i="90"/>
  <c r="AJ185" i="90"/>
  <c r="AJ186" i="90"/>
  <c r="AJ187" i="90"/>
  <c r="AJ188" i="90"/>
  <c r="AJ189" i="90"/>
  <c r="AJ190" i="90"/>
  <c r="AJ191" i="90"/>
  <c r="AJ192" i="90"/>
  <c r="AJ193" i="90"/>
  <c r="AJ194" i="90"/>
  <c r="AJ195" i="90"/>
  <c r="AJ196" i="90"/>
  <c r="AJ197" i="90"/>
  <c r="AJ198" i="90"/>
  <c r="AJ199" i="90"/>
  <c r="AJ200" i="90"/>
  <c r="AJ201" i="90"/>
  <c r="AJ202" i="90"/>
  <c r="AJ203" i="90"/>
  <c r="AJ204" i="90"/>
  <c r="AD7" i="90"/>
  <c r="AI7" i="90"/>
  <c r="Q23" i="88" l="1"/>
  <c r="E23" i="89"/>
  <c r="E21" i="62" s="1"/>
  <c r="K23" i="88"/>
  <c r="J21" i="51"/>
  <c r="J23" i="89"/>
  <c r="I21" i="62"/>
  <c r="F21" i="94" s="1"/>
  <c r="J21" i="94" s="1"/>
  <c r="F4" i="39"/>
  <c r="D21" i="58"/>
  <c r="J21" i="58"/>
  <c r="H4" i="39"/>
  <c r="S44" i="38"/>
  <c r="T44" i="38"/>
  <c r="S43" i="38"/>
  <c r="T43" i="38"/>
  <c r="T42" i="38"/>
  <c r="S42" i="38"/>
  <c r="M44" i="38"/>
  <c r="N44" i="38"/>
  <c r="M29" i="38"/>
  <c r="N29" i="38"/>
  <c r="M30" i="38"/>
  <c r="N30" i="38"/>
  <c r="M31" i="38"/>
  <c r="N31" i="38"/>
  <c r="M32" i="38"/>
  <c r="N32" i="38"/>
  <c r="M33" i="38"/>
  <c r="N33" i="38"/>
  <c r="M34" i="38"/>
  <c r="N34" i="38"/>
  <c r="M35" i="38"/>
  <c r="N35" i="38"/>
  <c r="M36" i="38"/>
  <c r="N36" i="38"/>
  <c r="M37" i="38"/>
  <c r="N37" i="38"/>
  <c r="M38" i="38"/>
  <c r="N38" i="38"/>
  <c r="M39" i="38"/>
  <c r="N39" i="38"/>
  <c r="M40" i="38"/>
  <c r="N40" i="38"/>
  <c r="M41" i="38"/>
  <c r="N41" i="38"/>
  <c r="M42" i="38"/>
  <c r="N42" i="38"/>
  <c r="M43" i="38"/>
  <c r="N43" i="38"/>
  <c r="N28" i="38"/>
  <c r="M28" i="38"/>
  <c r="K33" i="38"/>
  <c r="L33" i="38"/>
  <c r="K34" i="38"/>
  <c r="L34" i="38"/>
  <c r="K35" i="38"/>
  <c r="L35" i="38"/>
  <c r="K36" i="38"/>
  <c r="L36" i="38"/>
  <c r="K37" i="38"/>
  <c r="L37" i="38"/>
  <c r="K38" i="38"/>
  <c r="L38" i="38"/>
  <c r="K39" i="38"/>
  <c r="L39" i="38"/>
  <c r="K40" i="38"/>
  <c r="L40" i="38"/>
  <c r="K41" i="38"/>
  <c r="L41" i="38"/>
  <c r="K29" i="38"/>
  <c r="L29" i="38"/>
  <c r="K30" i="38"/>
  <c r="L30" i="38"/>
  <c r="K31" i="38"/>
  <c r="L31" i="38"/>
  <c r="K32" i="38"/>
  <c r="L32" i="38"/>
  <c r="L28" i="38"/>
  <c r="K28" i="38"/>
  <c r="E44" i="38"/>
  <c r="F44" i="38"/>
  <c r="E33" i="38"/>
  <c r="F33" i="38"/>
  <c r="E34" i="38"/>
  <c r="F34" i="38"/>
  <c r="E35" i="38"/>
  <c r="F35" i="38"/>
  <c r="E36" i="38"/>
  <c r="F36" i="38"/>
  <c r="E37" i="38"/>
  <c r="F37" i="38"/>
  <c r="E38" i="38"/>
  <c r="F38" i="38"/>
  <c r="E39" i="38"/>
  <c r="F39" i="38"/>
  <c r="E40" i="38"/>
  <c r="F40" i="38"/>
  <c r="E41" i="38"/>
  <c r="F41" i="38"/>
  <c r="E42" i="38"/>
  <c r="F42" i="38"/>
  <c r="E43" i="38"/>
  <c r="F43" i="38"/>
  <c r="E29" i="38"/>
  <c r="F29" i="38"/>
  <c r="E30" i="38"/>
  <c r="F30" i="38"/>
  <c r="E31" i="38"/>
  <c r="F31" i="38"/>
  <c r="E32" i="38"/>
  <c r="F32" i="38"/>
  <c r="F28" i="38"/>
  <c r="E28" i="38"/>
  <c r="C44" i="38"/>
  <c r="D44" i="38"/>
  <c r="C30" i="38"/>
  <c r="D30" i="38"/>
  <c r="C31" i="38"/>
  <c r="D31" i="38"/>
  <c r="C32" i="38"/>
  <c r="D32" i="38"/>
  <c r="C33" i="38"/>
  <c r="D33" i="38"/>
  <c r="C34" i="38"/>
  <c r="D34" i="38"/>
  <c r="C35" i="38"/>
  <c r="D35" i="38"/>
  <c r="C36" i="38"/>
  <c r="D36" i="38"/>
  <c r="C37" i="38"/>
  <c r="D37" i="38"/>
  <c r="C38" i="38"/>
  <c r="D38" i="38"/>
  <c r="C39" i="38"/>
  <c r="D39" i="38"/>
  <c r="C40" i="38"/>
  <c r="D40" i="38"/>
  <c r="C41" i="38"/>
  <c r="D41" i="38"/>
  <c r="C42" i="38"/>
  <c r="D42" i="38"/>
  <c r="C43" i="38"/>
  <c r="D43" i="38"/>
  <c r="C29" i="38"/>
  <c r="D29" i="38"/>
  <c r="D28" i="38"/>
  <c r="C28" i="38"/>
  <c r="F20" i="40"/>
  <c r="F6" i="40"/>
  <c r="F7" i="40"/>
  <c r="F8" i="40"/>
  <c r="F9" i="40"/>
  <c r="F10" i="40"/>
  <c r="F11" i="40"/>
  <c r="F12" i="40"/>
  <c r="F13" i="40"/>
  <c r="F14" i="40"/>
  <c r="F15" i="40"/>
  <c r="F16" i="40"/>
  <c r="F17" i="40"/>
  <c r="F18" i="40"/>
  <c r="F19" i="40"/>
  <c r="F5" i="40"/>
  <c r="F4" i="40"/>
  <c r="E20" i="40"/>
  <c r="D20" i="40"/>
  <c r="D5" i="40"/>
  <c r="D6" i="40"/>
  <c r="D7" i="40"/>
  <c r="D8" i="40"/>
  <c r="D9" i="40"/>
  <c r="D10" i="40"/>
  <c r="D11" i="40"/>
  <c r="D12" i="40"/>
  <c r="D13" i="40"/>
  <c r="D14" i="40"/>
  <c r="D15" i="40"/>
  <c r="D16" i="40"/>
  <c r="D17" i="40"/>
  <c r="D18" i="40"/>
  <c r="D19" i="40"/>
  <c r="D4" i="40"/>
  <c r="C5" i="40"/>
  <c r="E5" i="40" s="1"/>
  <c r="C6" i="40"/>
  <c r="E6" i="40" s="1"/>
  <c r="C7" i="40"/>
  <c r="E7" i="40" s="1"/>
  <c r="C8" i="40"/>
  <c r="C9" i="40"/>
  <c r="C10" i="40"/>
  <c r="E10" i="40" s="1"/>
  <c r="C11" i="40"/>
  <c r="E11" i="40" s="1"/>
  <c r="C12" i="40"/>
  <c r="E12" i="40" s="1"/>
  <c r="C13" i="40"/>
  <c r="E13" i="40" s="1"/>
  <c r="C14" i="40"/>
  <c r="E14" i="40" s="1"/>
  <c r="C15" i="40"/>
  <c r="E15" i="40" s="1"/>
  <c r="C16" i="40"/>
  <c r="E16" i="40" s="1"/>
  <c r="C17" i="40"/>
  <c r="E17" i="40" s="1"/>
  <c r="C18" i="40"/>
  <c r="C19" i="40"/>
  <c r="E19" i="40" s="1"/>
  <c r="C20" i="40"/>
  <c r="C4" i="40"/>
  <c r="K8" i="60"/>
  <c r="O3" i="88"/>
  <c r="I122" i="95"/>
  <c r="J122" i="95" s="1"/>
  <c r="L122" i="95" s="1"/>
  <c r="J7" i="95"/>
  <c r="J8" i="95"/>
  <c r="J9" i="95"/>
  <c r="M9" i="95" s="1"/>
  <c r="J15" i="95"/>
  <c r="J16" i="95"/>
  <c r="J22" i="95"/>
  <c r="L22" i="95" s="1"/>
  <c r="J23" i="95"/>
  <c r="J24" i="95"/>
  <c r="J31" i="95"/>
  <c r="J32" i="95"/>
  <c r="J39" i="95"/>
  <c r="L39" i="95" s="1"/>
  <c r="J40" i="95"/>
  <c r="J47" i="95"/>
  <c r="J48" i="95"/>
  <c r="J55" i="95"/>
  <c r="L55" i="95" s="1"/>
  <c r="J56" i="95"/>
  <c r="J61" i="95"/>
  <c r="J62" i="95"/>
  <c r="L62" i="95" s="1"/>
  <c r="J63" i="95"/>
  <c r="L63" i="95" s="1"/>
  <c r="J64" i="95"/>
  <c r="J71" i="95"/>
  <c r="J72" i="95"/>
  <c r="J73" i="95"/>
  <c r="M73" i="95" s="1"/>
  <c r="J77" i="95"/>
  <c r="L77" i="95" s="1"/>
  <c r="J79" i="95"/>
  <c r="J80" i="95"/>
  <c r="J86" i="95"/>
  <c r="L86" i="95" s="1"/>
  <c r="J87" i="95"/>
  <c r="L87" i="95" s="1"/>
  <c r="J88" i="95"/>
  <c r="J95" i="95"/>
  <c r="J96" i="95"/>
  <c r="J102" i="95"/>
  <c r="L102" i="95" s="1"/>
  <c r="J103" i="95"/>
  <c r="L103" i="95" s="1"/>
  <c r="J104" i="95"/>
  <c r="K104" i="95" s="1"/>
  <c r="J111" i="95"/>
  <c r="J112" i="95"/>
  <c r="J119" i="95"/>
  <c r="M119" i="95" s="1"/>
  <c r="J120" i="95"/>
  <c r="J125" i="95"/>
  <c r="J5" i="95"/>
  <c r="H6" i="95"/>
  <c r="I6" i="95"/>
  <c r="J6" i="95" s="1"/>
  <c r="I7" i="95"/>
  <c r="I8" i="95"/>
  <c r="I9" i="95"/>
  <c r="H10" i="95"/>
  <c r="I10" i="95"/>
  <c r="J10" i="95" s="1"/>
  <c r="L10" i="95" s="1"/>
  <c r="I11" i="95"/>
  <c r="J11" i="95" s="1"/>
  <c r="L11" i="95" s="1"/>
  <c r="I12" i="95"/>
  <c r="J12" i="95" s="1"/>
  <c r="I13" i="95"/>
  <c r="J13" i="95" s="1"/>
  <c r="H14" i="95"/>
  <c r="I14" i="95"/>
  <c r="J14" i="95" s="1"/>
  <c r="H15" i="95"/>
  <c r="I15" i="95"/>
  <c r="I16" i="95"/>
  <c r="I17" i="95"/>
  <c r="J17" i="95" s="1"/>
  <c r="I18" i="95"/>
  <c r="J18" i="95" s="1"/>
  <c r="L18" i="95" s="1"/>
  <c r="I19" i="95"/>
  <c r="J19" i="95" s="1"/>
  <c r="L19" i="95" s="1"/>
  <c r="I20" i="95"/>
  <c r="J20" i="95" s="1"/>
  <c r="I21" i="95"/>
  <c r="J21" i="95" s="1"/>
  <c r="I22" i="95"/>
  <c r="H23" i="95"/>
  <c r="I23" i="95"/>
  <c r="I24" i="95"/>
  <c r="I25" i="95"/>
  <c r="J25" i="95" s="1"/>
  <c r="I26" i="95"/>
  <c r="J26" i="95" s="1"/>
  <c r="L26" i="95" s="1"/>
  <c r="I27" i="95"/>
  <c r="J27" i="95" s="1"/>
  <c r="I28" i="95"/>
  <c r="J28" i="95" s="1"/>
  <c r="H29" i="95"/>
  <c r="I29" i="95"/>
  <c r="J29" i="95" s="1"/>
  <c r="I30" i="95"/>
  <c r="J30" i="95" s="1"/>
  <c r="I31" i="95"/>
  <c r="I32" i="95"/>
  <c r="H33" i="95"/>
  <c r="I33" i="95"/>
  <c r="J33" i="95" s="1"/>
  <c r="I34" i="95"/>
  <c r="J34" i="95" s="1"/>
  <c r="L34" i="95" s="1"/>
  <c r="I35" i="95"/>
  <c r="J35" i="95" s="1"/>
  <c r="L35" i="95" s="1"/>
  <c r="I36" i="95"/>
  <c r="J36" i="95" s="1"/>
  <c r="H37" i="95"/>
  <c r="I37" i="95"/>
  <c r="J37" i="95" s="1"/>
  <c r="H38" i="95"/>
  <c r="I38" i="95"/>
  <c r="J38" i="95" s="1"/>
  <c r="I39" i="95"/>
  <c r="I40" i="95"/>
  <c r="I41" i="95"/>
  <c r="J41" i="95" s="1"/>
  <c r="H42" i="95"/>
  <c r="I42" i="95"/>
  <c r="J42" i="95" s="1"/>
  <c r="L42" i="95" s="1"/>
  <c r="I43" i="95"/>
  <c r="J43" i="95" s="1"/>
  <c r="L43" i="95" s="1"/>
  <c r="I44" i="95"/>
  <c r="J44" i="95" s="1"/>
  <c r="I45" i="95"/>
  <c r="J45" i="95" s="1"/>
  <c r="H46" i="95"/>
  <c r="I46" i="95"/>
  <c r="J46" i="95" s="1"/>
  <c r="H47" i="95"/>
  <c r="I47" i="95"/>
  <c r="I48" i="95"/>
  <c r="I49" i="95"/>
  <c r="J49" i="95" s="1"/>
  <c r="I50" i="95"/>
  <c r="J50" i="95" s="1"/>
  <c r="L50" i="95" s="1"/>
  <c r="I51" i="95"/>
  <c r="J51" i="95" s="1"/>
  <c r="I52" i="95"/>
  <c r="J52" i="95" s="1"/>
  <c r="I53" i="95"/>
  <c r="J53" i="95" s="1"/>
  <c r="I54" i="95"/>
  <c r="J54" i="95" s="1"/>
  <c r="H55" i="95"/>
  <c r="I55" i="95"/>
  <c r="I56" i="95"/>
  <c r="I57" i="95"/>
  <c r="J57" i="95" s="1"/>
  <c r="I58" i="95"/>
  <c r="J58" i="95" s="1"/>
  <c r="L58" i="95" s="1"/>
  <c r="I59" i="95"/>
  <c r="J59" i="95" s="1"/>
  <c r="I60" i="95"/>
  <c r="J60" i="95" s="1"/>
  <c r="H61" i="95"/>
  <c r="I61" i="95"/>
  <c r="I62" i="95"/>
  <c r="I63" i="95"/>
  <c r="I64" i="95"/>
  <c r="H65" i="95"/>
  <c r="I65" i="95"/>
  <c r="J65" i="95" s="1"/>
  <c r="I66" i="95"/>
  <c r="J66" i="95" s="1"/>
  <c r="L66" i="95" s="1"/>
  <c r="I67" i="95"/>
  <c r="J67" i="95" s="1"/>
  <c r="L67" i="95" s="1"/>
  <c r="I68" i="95"/>
  <c r="J68" i="95" s="1"/>
  <c r="H69" i="95"/>
  <c r="I69" i="95"/>
  <c r="J69" i="95" s="1"/>
  <c r="H70" i="95"/>
  <c r="I70" i="95"/>
  <c r="J70" i="95" s="1"/>
  <c r="I71" i="95"/>
  <c r="I72" i="95"/>
  <c r="I73" i="95"/>
  <c r="H74" i="95"/>
  <c r="I74" i="95"/>
  <c r="J74" i="95" s="1"/>
  <c r="L74" i="95" s="1"/>
  <c r="I75" i="95"/>
  <c r="J75" i="95" s="1"/>
  <c r="L75" i="95" s="1"/>
  <c r="I76" i="95"/>
  <c r="J76" i="95" s="1"/>
  <c r="I77" i="95"/>
  <c r="H78" i="95"/>
  <c r="I78" i="95"/>
  <c r="J78" i="95" s="1"/>
  <c r="H79" i="95"/>
  <c r="I79" i="95"/>
  <c r="I80" i="95"/>
  <c r="I81" i="95"/>
  <c r="J81" i="95" s="1"/>
  <c r="I82" i="95"/>
  <c r="J82" i="95" s="1"/>
  <c r="L82" i="95" s="1"/>
  <c r="I83" i="95"/>
  <c r="J83" i="95" s="1"/>
  <c r="I84" i="95"/>
  <c r="J84" i="95" s="1"/>
  <c r="I85" i="95"/>
  <c r="J85" i="95" s="1"/>
  <c r="I86" i="95"/>
  <c r="H87" i="95"/>
  <c r="I87" i="95"/>
  <c r="I88" i="95"/>
  <c r="I89" i="95"/>
  <c r="J89" i="95" s="1"/>
  <c r="I90" i="95"/>
  <c r="J90" i="95" s="1"/>
  <c r="L90" i="95" s="1"/>
  <c r="I91" i="95"/>
  <c r="J91" i="95" s="1"/>
  <c r="I92" i="95"/>
  <c r="J92" i="95" s="1"/>
  <c r="H93" i="95"/>
  <c r="I93" i="95"/>
  <c r="J93" i="95" s="1"/>
  <c r="I94" i="95"/>
  <c r="J94" i="95" s="1"/>
  <c r="I95" i="95"/>
  <c r="I96" i="95"/>
  <c r="H97" i="95"/>
  <c r="I97" i="95"/>
  <c r="J97" i="95" s="1"/>
  <c r="I98" i="95"/>
  <c r="J98" i="95" s="1"/>
  <c r="L98" i="95" s="1"/>
  <c r="I99" i="95"/>
  <c r="J99" i="95" s="1"/>
  <c r="L99" i="95" s="1"/>
  <c r="I100" i="95"/>
  <c r="J100" i="95" s="1"/>
  <c r="H101" i="95"/>
  <c r="I101" i="95"/>
  <c r="J101" i="95" s="1"/>
  <c r="H102" i="95"/>
  <c r="I102" i="95"/>
  <c r="I103" i="95"/>
  <c r="I104" i="95"/>
  <c r="H105" i="95"/>
  <c r="I105" i="95"/>
  <c r="J105" i="95" s="1"/>
  <c r="H106" i="95"/>
  <c r="I106" i="95"/>
  <c r="J106" i="95" s="1"/>
  <c r="L106" i="95" s="1"/>
  <c r="I107" i="95"/>
  <c r="J107" i="95" s="1"/>
  <c r="L107" i="95" s="1"/>
  <c r="I108" i="95"/>
  <c r="J108" i="95" s="1"/>
  <c r="H109" i="95"/>
  <c r="I109" i="95"/>
  <c r="J109" i="95" s="1"/>
  <c r="H110" i="95"/>
  <c r="I110" i="95"/>
  <c r="J110" i="95" s="1"/>
  <c r="I111" i="95"/>
  <c r="I112" i="95"/>
  <c r="H113" i="95"/>
  <c r="I113" i="95"/>
  <c r="J113" i="95" s="1"/>
  <c r="H114" i="95"/>
  <c r="I114" i="95"/>
  <c r="J114" i="95" s="1"/>
  <c r="L114" i="95" s="1"/>
  <c r="I115" i="95"/>
  <c r="J115" i="95" s="1"/>
  <c r="I116" i="95"/>
  <c r="J116" i="95" s="1"/>
  <c r="H117" i="95"/>
  <c r="I117" i="95"/>
  <c r="J117" i="95" s="1"/>
  <c r="H118" i="95"/>
  <c r="I118" i="95"/>
  <c r="J118" i="95" s="1"/>
  <c r="I119" i="95"/>
  <c r="I120" i="95"/>
  <c r="H121" i="95"/>
  <c r="I121" i="95"/>
  <c r="J121" i="95" s="1"/>
  <c r="H122" i="95"/>
  <c r="I123" i="95"/>
  <c r="J123" i="95" s="1"/>
  <c r="I124" i="95"/>
  <c r="J124" i="95" s="1"/>
  <c r="I125" i="95"/>
  <c r="I5" i="95"/>
  <c r="B5" i="95"/>
  <c r="H5" i="95" s="1"/>
  <c r="B6" i="95"/>
  <c r="B7" i="95"/>
  <c r="H7" i="95" s="1"/>
  <c r="B8" i="95"/>
  <c r="H8" i="95" s="1"/>
  <c r="B9" i="95"/>
  <c r="H9" i="95" s="1"/>
  <c r="B10" i="95"/>
  <c r="B11" i="95"/>
  <c r="H11" i="95" s="1"/>
  <c r="B12" i="95"/>
  <c r="H12" i="95" s="1"/>
  <c r="B13" i="95"/>
  <c r="H13" i="95" s="1"/>
  <c r="B14" i="95"/>
  <c r="B15" i="95"/>
  <c r="B16" i="95"/>
  <c r="H16" i="95" s="1"/>
  <c r="B17" i="95"/>
  <c r="H17" i="95" s="1"/>
  <c r="B18" i="95"/>
  <c r="H18" i="95" s="1"/>
  <c r="B19" i="95"/>
  <c r="H19" i="95" s="1"/>
  <c r="B20" i="95"/>
  <c r="H20" i="95" s="1"/>
  <c r="B21" i="95"/>
  <c r="H21" i="95" s="1"/>
  <c r="B22" i="95"/>
  <c r="H22" i="95" s="1"/>
  <c r="B23" i="95"/>
  <c r="B24" i="95"/>
  <c r="H24" i="95" s="1"/>
  <c r="B25" i="95"/>
  <c r="H25" i="95" s="1"/>
  <c r="B26" i="95"/>
  <c r="H26" i="95" s="1"/>
  <c r="B27" i="95"/>
  <c r="H27" i="95" s="1"/>
  <c r="B28" i="95"/>
  <c r="H28" i="95" s="1"/>
  <c r="B29" i="95"/>
  <c r="B30" i="95"/>
  <c r="H30" i="95" s="1"/>
  <c r="B31" i="95"/>
  <c r="H31" i="95" s="1"/>
  <c r="B32" i="95"/>
  <c r="H32" i="95" s="1"/>
  <c r="B33" i="95"/>
  <c r="B34" i="95"/>
  <c r="H34" i="95" s="1"/>
  <c r="B35" i="95"/>
  <c r="H35" i="95" s="1"/>
  <c r="B36" i="95"/>
  <c r="H36" i="95" s="1"/>
  <c r="B37" i="95"/>
  <c r="B38" i="95"/>
  <c r="B39" i="95"/>
  <c r="H39" i="95" s="1"/>
  <c r="B40" i="95"/>
  <c r="H40" i="95" s="1"/>
  <c r="B41" i="95"/>
  <c r="H41" i="95" s="1"/>
  <c r="B42" i="95"/>
  <c r="B43" i="95"/>
  <c r="H43" i="95" s="1"/>
  <c r="B44" i="95"/>
  <c r="H44" i="95" s="1"/>
  <c r="B45" i="95"/>
  <c r="H45" i="95" s="1"/>
  <c r="B46" i="95"/>
  <c r="B47" i="95"/>
  <c r="B48" i="95"/>
  <c r="H48" i="95" s="1"/>
  <c r="B49" i="95"/>
  <c r="H49" i="95" s="1"/>
  <c r="B50" i="95"/>
  <c r="H50" i="95" s="1"/>
  <c r="B51" i="95"/>
  <c r="H51" i="95" s="1"/>
  <c r="B52" i="95"/>
  <c r="H52" i="95" s="1"/>
  <c r="B53" i="95"/>
  <c r="H53" i="95" s="1"/>
  <c r="B54" i="95"/>
  <c r="H54" i="95" s="1"/>
  <c r="B55" i="95"/>
  <c r="B56" i="95"/>
  <c r="H56" i="95" s="1"/>
  <c r="B57" i="95"/>
  <c r="H57" i="95" s="1"/>
  <c r="B58" i="95"/>
  <c r="H58" i="95" s="1"/>
  <c r="B59" i="95"/>
  <c r="H59" i="95" s="1"/>
  <c r="B60" i="95"/>
  <c r="H60" i="95" s="1"/>
  <c r="B61" i="95"/>
  <c r="B62" i="95"/>
  <c r="H62" i="95" s="1"/>
  <c r="B63" i="95"/>
  <c r="H63" i="95" s="1"/>
  <c r="B64" i="95"/>
  <c r="H64" i="95" s="1"/>
  <c r="B65" i="95"/>
  <c r="B66" i="95"/>
  <c r="H66" i="95" s="1"/>
  <c r="B67" i="95"/>
  <c r="H67" i="95" s="1"/>
  <c r="B68" i="95"/>
  <c r="H68" i="95" s="1"/>
  <c r="B69" i="95"/>
  <c r="B70" i="95"/>
  <c r="B71" i="95"/>
  <c r="H71" i="95" s="1"/>
  <c r="B72" i="95"/>
  <c r="H72" i="95" s="1"/>
  <c r="B73" i="95"/>
  <c r="H73" i="95" s="1"/>
  <c r="B74" i="95"/>
  <c r="B75" i="95"/>
  <c r="H75" i="95" s="1"/>
  <c r="B76" i="95"/>
  <c r="H76" i="95" s="1"/>
  <c r="B77" i="95"/>
  <c r="H77" i="95" s="1"/>
  <c r="B78" i="95"/>
  <c r="B79" i="95"/>
  <c r="B80" i="95"/>
  <c r="H80" i="95" s="1"/>
  <c r="B81" i="95"/>
  <c r="H81" i="95" s="1"/>
  <c r="B82" i="95"/>
  <c r="H82" i="95" s="1"/>
  <c r="B83" i="95"/>
  <c r="H83" i="95" s="1"/>
  <c r="B84" i="95"/>
  <c r="H84" i="95" s="1"/>
  <c r="B85" i="95"/>
  <c r="H85" i="95" s="1"/>
  <c r="B86" i="95"/>
  <c r="H86" i="95" s="1"/>
  <c r="B87" i="95"/>
  <c r="B88" i="95"/>
  <c r="H88" i="95" s="1"/>
  <c r="B89" i="95"/>
  <c r="H89" i="95" s="1"/>
  <c r="B90" i="95"/>
  <c r="H90" i="95" s="1"/>
  <c r="B91" i="95"/>
  <c r="H91" i="95" s="1"/>
  <c r="B92" i="95"/>
  <c r="H92" i="95" s="1"/>
  <c r="B93" i="95"/>
  <c r="B94" i="95"/>
  <c r="H94" i="95" s="1"/>
  <c r="B95" i="95"/>
  <c r="H95" i="95" s="1"/>
  <c r="B96" i="95"/>
  <c r="H96" i="95" s="1"/>
  <c r="B97" i="95"/>
  <c r="B98" i="95"/>
  <c r="H98" i="95" s="1"/>
  <c r="B99" i="95"/>
  <c r="H99" i="95" s="1"/>
  <c r="B100" i="95"/>
  <c r="H100" i="95" s="1"/>
  <c r="B101" i="95"/>
  <c r="B102" i="95"/>
  <c r="B103" i="95"/>
  <c r="H103" i="95" s="1"/>
  <c r="B104" i="95"/>
  <c r="H104" i="95" s="1"/>
  <c r="B105" i="95"/>
  <c r="B106" i="95"/>
  <c r="B107" i="95"/>
  <c r="H107" i="95" s="1"/>
  <c r="B108" i="95"/>
  <c r="H108" i="95" s="1"/>
  <c r="B109" i="95"/>
  <c r="B110" i="95"/>
  <c r="B111" i="95"/>
  <c r="H111" i="95" s="1"/>
  <c r="B112" i="95"/>
  <c r="H112" i="95" s="1"/>
  <c r="B113" i="95"/>
  <c r="B114" i="95"/>
  <c r="B115" i="95"/>
  <c r="H115" i="95" s="1"/>
  <c r="B116" i="95"/>
  <c r="H116" i="95" s="1"/>
  <c r="B117" i="95"/>
  <c r="B118" i="95"/>
  <c r="B119" i="95"/>
  <c r="H119" i="95" s="1"/>
  <c r="B120" i="95"/>
  <c r="H120" i="95" s="1"/>
  <c r="B121" i="95"/>
  <c r="B122" i="95"/>
  <c r="B123" i="95"/>
  <c r="H123" i="95" s="1"/>
  <c r="B124" i="95"/>
  <c r="H124" i="95" s="1"/>
  <c r="B125" i="95"/>
  <c r="H125" i="95" s="1"/>
  <c r="K21" i="94" l="1"/>
  <c r="J21" i="62"/>
  <c r="K23" i="89"/>
  <c r="L23" i="88"/>
  <c r="L21" i="51" s="1"/>
  <c r="K21" i="51"/>
  <c r="E18" i="40"/>
  <c r="E9" i="40"/>
  <c r="L21" i="94"/>
  <c r="E4" i="40"/>
  <c r="U43" i="38"/>
  <c r="U44" i="38"/>
  <c r="O44" i="38"/>
  <c r="E8" i="40"/>
  <c r="G8" i="40" s="1"/>
  <c r="G28" i="38"/>
  <c r="P10" i="88"/>
  <c r="C30" i="65" s="1"/>
  <c r="P18" i="88"/>
  <c r="C38" i="65" s="1"/>
  <c r="O8" i="88"/>
  <c r="O16" i="88"/>
  <c r="P11" i="88"/>
  <c r="C31" i="65" s="1"/>
  <c r="P19" i="88"/>
  <c r="C39" i="65" s="1"/>
  <c r="O9" i="88"/>
  <c r="O17" i="88"/>
  <c r="P17" i="88"/>
  <c r="C37" i="65" s="1"/>
  <c r="O15" i="88"/>
  <c r="P12" i="88"/>
  <c r="C32" i="65" s="1"/>
  <c r="P20" i="88"/>
  <c r="C40" i="65" s="1"/>
  <c r="O10" i="88"/>
  <c r="O18" i="88"/>
  <c r="P13" i="88"/>
  <c r="C33" i="65" s="1"/>
  <c r="P21" i="88"/>
  <c r="C41" i="65" s="1"/>
  <c r="O11" i="88"/>
  <c r="O19" i="88"/>
  <c r="P14" i="88"/>
  <c r="C34" i="65" s="1"/>
  <c r="P22" i="88"/>
  <c r="C42" i="65" s="1"/>
  <c r="O12" i="88"/>
  <c r="O20" i="88"/>
  <c r="O7" i="88"/>
  <c r="P7" i="88"/>
  <c r="C27" i="65" s="1"/>
  <c r="P15" i="88"/>
  <c r="C35" i="65" s="1"/>
  <c r="P6" i="88"/>
  <c r="C26" i="65" s="1"/>
  <c r="O13" i="88"/>
  <c r="O21" i="88"/>
  <c r="P9" i="88"/>
  <c r="C29" i="65" s="1"/>
  <c r="P8" i="88"/>
  <c r="C28" i="65" s="1"/>
  <c r="P16" i="88"/>
  <c r="C36" i="65" s="1"/>
  <c r="O6" i="88"/>
  <c r="O14" i="88"/>
  <c r="O22" i="88"/>
  <c r="G16" i="40"/>
  <c r="G15" i="40"/>
  <c r="G7" i="40"/>
  <c r="G6" i="40"/>
  <c r="G4" i="40"/>
  <c r="G13" i="40"/>
  <c r="G20" i="40"/>
  <c r="G14" i="40"/>
  <c r="G5" i="40"/>
  <c r="G12" i="40"/>
  <c r="G19" i="40"/>
  <c r="G11" i="40"/>
  <c r="G18" i="40"/>
  <c r="G10" i="40"/>
  <c r="G17" i="40"/>
  <c r="G9" i="40"/>
  <c r="O28" i="38"/>
  <c r="G44" i="38"/>
  <c r="K18" i="95"/>
  <c r="L119" i="95"/>
  <c r="M34" i="95"/>
  <c r="K119" i="95"/>
  <c r="K82" i="95"/>
  <c r="M66" i="95"/>
  <c r="K58" i="95"/>
  <c r="M98" i="95"/>
  <c r="M25" i="95"/>
  <c r="K25" i="95"/>
  <c r="L25" i="95"/>
  <c r="K69" i="95"/>
  <c r="M69" i="95"/>
  <c r="L69" i="95"/>
  <c r="M49" i="95"/>
  <c r="L49" i="95"/>
  <c r="K49" i="95"/>
  <c r="K37" i="95"/>
  <c r="M37" i="95"/>
  <c r="L37" i="95"/>
  <c r="M17" i="95"/>
  <c r="L17" i="95"/>
  <c r="K17" i="95"/>
  <c r="L94" i="95"/>
  <c r="M94" i="95"/>
  <c r="K94" i="95"/>
  <c r="L30" i="95"/>
  <c r="M30" i="95"/>
  <c r="K30" i="95"/>
  <c r="M89" i="95"/>
  <c r="K89" i="95"/>
  <c r="L89" i="95"/>
  <c r="M81" i="95"/>
  <c r="L81" i="95"/>
  <c r="K81" i="95"/>
  <c r="M121" i="95"/>
  <c r="K121" i="95"/>
  <c r="L121" i="95"/>
  <c r="L110" i="95"/>
  <c r="M110" i="95"/>
  <c r="K110" i="95"/>
  <c r="M105" i="95"/>
  <c r="K105" i="95"/>
  <c r="L105" i="95"/>
  <c r="K93" i="95"/>
  <c r="M93" i="95"/>
  <c r="L93" i="95"/>
  <c r="K29" i="95"/>
  <c r="M29" i="95"/>
  <c r="L29" i="95"/>
  <c r="M57" i="95"/>
  <c r="K57" i="95"/>
  <c r="L57" i="95"/>
  <c r="L54" i="95"/>
  <c r="K54" i="95"/>
  <c r="M54" i="95"/>
  <c r="K109" i="95"/>
  <c r="M109" i="95"/>
  <c r="L109" i="95"/>
  <c r="L78" i="95"/>
  <c r="K78" i="95"/>
  <c r="M78" i="95"/>
  <c r="K53" i="95"/>
  <c r="M53" i="95"/>
  <c r="L53" i="95"/>
  <c r="L46" i="95"/>
  <c r="K46" i="95"/>
  <c r="M46" i="95"/>
  <c r="K21" i="95"/>
  <c r="M21" i="95"/>
  <c r="L21" i="95"/>
  <c r="L14" i="95"/>
  <c r="M14" i="95"/>
  <c r="K14" i="95"/>
  <c r="K117" i="95"/>
  <c r="M117" i="95"/>
  <c r="L117" i="95"/>
  <c r="M41" i="95"/>
  <c r="L41" i="95"/>
  <c r="K41" i="95"/>
  <c r="K85" i="95"/>
  <c r="M85" i="95"/>
  <c r="L85" i="95"/>
  <c r="M97" i="95"/>
  <c r="K97" i="95"/>
  <c r="L97" i="95"/>
  <c r="M65" i="95"/>
  <c r="K65" i="95"/>
  <c r="L65" i="95"/>
  <c r="M33" i="95"/>
  <c r="K33" i="95"/>
  <c r="L33" i="95"/>
  <c r="K101" i="95"/>
  <c r="M101" i="95"/>
  <c r="L101" i="95"/>
  <c r="L118" i="95"/>
  <c r="M118" i="95"/>
  <c r="K118" i="95"/>
  <c r="M113" i="95"/>
  <c r="L113" i="95"/>
  <c r="K113" i="95"/>
  <c r="L70" i="95"/>
  <c r="M70" i="95"/>
  <c r="K70" i="95"/>
  <c r="K45" i="95"/>
  <c r="M45" i="95"/>
  <c r="L45" i="95"/>
  <c r="L38" i="95"/>
  <c r="M38" i="95"/>
  <c r="K38" i="95"/>
  <c r="K13" i="95"/>
  <c r="M13" i="95"/>
  <c r="L13" i="95"/>
  <c r="L6" i="95"/>
  <c r="M6" i="95"/>
  <c r="K6" i="95"/>
  <c r="L112" i="95"/>
  <c r="M112" i="95"/>
  <c r="M23" i="95"/>
  <c r="K23" i="95"/>
  <c r="M91" i="95"/>
  <c r="K91" i="95"/>
  <c r="M111" i="95"/>
  <c r="K111" i="95"/>
  <c r="L116" i="95"/>
  <c r="K116" i="95"/>
  <c r="M116" i="95"/>
  <c r="L108" i="95"/>
  <c r="K108" i="95"/>
  <c r="M108" i="95"/>
  <c r="L100" i="95"/>
  <c r="K100" i="95"/>
  <c r="M100" i="95"/>
  <c r="L68" i="95"/>
  <c r="K68" i="95"/>
  <c r="M68" i="95"/>
  <c r="L36" i="95"/>
  <c r="K36" i="95"/>
  <c r="M36" i="95"/>
  <c r="L96" i="95"/>
  <c r="M96" i="95"/>
  <c r="K96" i="95"/>
  <c r="M71" i="95"/>
  <c r="K71" i="95"/>
  <c r="L32" i="95"/>
  <c r="M32" i="95"/>
  <c r="K32" i="95"/>
  <c r="M7" i="95"/>
  <c r="K7" i="95"/>
  <c r="K114" i="95"/>
  <c r="H20" i="94" s="1"/>
  <c r="K98" i="95"/>
  <c r="K34" i="95"/>
  <c r="M86" i="95"/>
  <c r="M22" i="95"/>
  <c r="M83" i="95"/>
  <c r="K83" i="95"/>
  <c r="L60" i="95"/>
  <c r="K60" i="95"/>
  <c r="M60" i="95"/>
  <c r="K62" i="95"/>
  <c r="L8" i="95"/>
  <c r="M8" i="95"/>
  <c r="K8" i="95"/>
  <c r="K102" i="95"/>
  <c r="L23" i="95"/>
  <c r="M99" i="95"/>
  <c r="K99" i="95"/>
  <c r="M67" i="95"/>
  <c r="K67" i="95"/>
  <c r="M35" i="95"/>
  <c r="K35" i="95"/>
  <c r="L120" i="95"/>
  <c r="M120" i="95"/>
  <c r="M95" i="95"/>
  <c r="K95" i="95"/>
  <c r="L56" i="95"/>
  <c r="M56" i="95"/>
  <c r="K56" i="95"/>
  <c r="M31" i="95"/>
  <c r="K31" i="95"/>
  <c r="K74" i="95"/>
  <c r="K10" i="95"/>
  <c r="M106" i="95"/>
  <c r="L95" i="95"/>
  <c r="M74" i="95"/>
  <c r="M42" i="95"/>
  <c r="L31" i="95"/>
  <c r="M10" i="95"/>
  <c r="M51" i="95"/>
  <c r="K51" i="95"/>
  <c r="M87" i="95"/>
  <c r="K87" i="95"/>
  <c r="K125" i="95"/>
  <c r="L125" i="95"/>
  <c r="M125" i="95"/>
  <c r="L72" i="95"/>
  <c r="M72" i="95"/>
  <c r="K72" i="95"/>
  <c r="L124" i="95"/>
  <c r="K124" i="95"/>
  <c r="M124" i="95"/>
  <c r="M115" i="95"/>
  <c r="K115" i="95"/>
  <c r="M107" i="95"/>
  <c r="K107" i="95"/>
  <c r="L76" i="95"/>
  <c r="K76" i="95"/>
  <c r="M76" i="95"/>
  <c r="L44" i="95"/>
  <c r="K44" i="95"/>
  <c r="M44" i="95"/>
  <c r="L12" i="95"/>
  <c r="K12" i="95"/>
  <c r="M12" i="95"/>
  <c r="L80" i="95"/>
  <c r="M80" i="95"/>
  <c r="K80" i="95"/>
  <c r="M55" i="95"/>
  <c r="K55" i="95"/>
  <c r="L16" i="95"/>
  <c r="M16" i="95"/>
  <c r="K16" i="95"/>
  <c r="K112" i="95"/>
  <c r="K73" i="95"/>
  <c r="K50" i="95"/>
  <c r="K9" i="95"/>
  <c r="L115" i="95"/>
  <c r="L83" i="95"/>
  <c r="L73" i="95"/>
  <c r="M62" i="95"/>
  <c r="L51" i="95"/>
  <c r="L9" i="95"/>
  <c r="L28" i="95"/>
  <c r="K28" i="95"/>
  <c r="M28" i="95"/>
  <c r="M59" i="95"/>
  <c r="K59" i="95"/>
  <c r="M27" i="95"/>
  <c r="K27" i="95"/>
  <c r="K61" i="95"/>
  <c r="M61" i="95"/>
  <c r="M123" i="95"/>
  <c r="K123" i="95"/>
  <c r="M75" i="95"/>
  <c r="K75" i="95"/>
  <c r="M43" i="95"/>
  <c r="K43" i="95"/>
  <c r="M11" i="95"/>
  <c r="K11" i="95"/>
  <c r="L104" i="95"/>
  <c r="M104" i="95"/>
  <c r="M79" i="95"/>
  <c r="K79" i="95"/>
  <c r="L40" i="95"/>
  <c r="M40" i="95"/>
  <c r="K40" i="95"/>
  <c r="M15" i="95"/>
  <c r="K15" i="95"/>
  <c r="K122" i="95"/>
  <c r="K90" i="95"/>
  <c r="K26" i="95"/>
  <c r="M114" i="95"/>
  <c r="M82" i="95"/>
  <c r="L71" i="95"/>
  <c r="L61" i="95"/>
  <c r="M50" i="95"/>
  <c r="M18" i="95"/>
  <c r="L7" i="95"/>
  <c r="L92" i="95"/>
  <c r="K92" i="95"/>
  <c r="M92" i="95"/>
  <c r="K5" i="95"/>
  <c r="H10" i="94" s="1"/>
  <c r="M5" i="95"/>
  <c r="L48" i="95"/>
  <c r="M48" i="95"/>
  <c r="K48" i="95"/>
  <c r="M47" i="95"/>
  <c r="K47" i="95"/>
  <c r="L84" i="95"/>
  <c r="K84" i="95"/>
  <c r="M84" i="95"/>
  <c r="L52" i="95"/>
  <c r="K52" i="95"/>
  <c r="M52" i="95"/>
  <c r="L20" i="95"/>
  <c r="I12" i="94" s="1"/>
  <c r="K20" i="95"/>
  <c r="M20" i="95"/>
  <c r="M103" i="95"/>
  <c r="K103" i="95"/>
  <c r="L64" i="95"/>
  <c r="M64" i="95"/>
  <c r="K64" i="95"/>
  <c r="M39" i="95"/>
  <c r="K39" i="95"/>
  <c r="K106" i="95"/>
  <c r="K66" i="95"/>
  <c r="L123" i="95"/>
  <c r="M102" i="95"/>
  <c r="L91" i="95"/>
  <c r="L59" i="95"/>
  <c r="L27" i="95"/>
  <c r="M19" i="95"/>
  <c r="K19" i="95"/>
  <c r="L88" i="95"/>
  <c r="M88" i="95"/>
  <c r="K88" i="95"/>
  <c r="K77" i="95"/>
  <c r="M77" i="95"/>
  <c r="M63" i="95"/>
  <c r="K63" i="95"/>
  <c r="L24" i="95"/>
  <c r="M24" i="95"/>
  <c r="K24" i="95"/>
  <c r="K120" i="95"/>
  <c r="K86" i="95"/>
  <c r="K42" i="95"/>
  <c r="K22" i="95"/>
  <c r="M122" i="95"/>
  <c r="L111" i="95"/>
  <c r="M90" i="95"/>
  <c r="L79" i="95"/>
  <c r="M58" i="95"/>
  <c r="L47" i="95"/>
  <c r="M26" i="95"/>
  <c r="L15" i="95"/>
  <c r="L5" i="95"/>
  <c r="I10" i="94" s="1"/>
  <c r="L23" i="89" l="1"/>
  <c r="L21" i="62" s="1"/>
  <c r="K21" i="62"/>
  <c r="L25" i="60" s="1"/>
  <c r="M25" i="60" s="1"/>
  <c r="D37" i="65"/>
  <c r="Q17" i="88"/>
  <c r="D27" i="65"/>
  <c r="Q7" i="88"/>
  <c r="D29" i="65"/>
  <c r="Q9" i="88"/>
  <c r="D40" i="65"/>
  <c r="Q20" i="88"/>
  <c r="Q18" i="88"/>
  <c r="D38" i="65"/>
  <c r="D32" i="65"/>
  <c r="Q12" i="88"/>
  <c r="Q10" i="88"/>
  <c r="D30" i="65"/>
  <c r="D41" i="65"/>
  <c r="Q21" i="88"/>
  <c r="D36" i="65"/>
  <c r="Q16" i="88"/>
  <c r="D42" i="65"/>
  <c r="E42" i="65" s="1"/>
  <c r="H42" i="65" s="1"/>
  <c r="Q22" i="88"/>
  <c r="D33" i="65"/>
  <c r="Q13" i="88"/>
  <c r="D28" i="65"/>
  <c r="Q8" i="88"/>
  <c r="D39" i="65"/>
  <c r="Q19" i="88"/>
  <c r="D35" i="65"/>
  <c r="Q15" i="88"/>
  <c r="D34" i="65"/>
  <c r="Q14" i="88"/>
  <c r="D26" i="65"/>
  <c r="Q6" i="88"/>
  <c r="D31" i="65"/>
  <c r="Q11" i="88"/>
  <c r="H19" i="94"/>
  <c r="I20" i="94"/>
  <c r="I19" i="94"/>
  <c r="I18" i="94"/>
  <c r="I14" i="94"/>
  <c r="I16" i="94"/>
  <c r="H16" i="94"/>
  <c r="H15" i="94"/>
  <c r="I15" i="94"/>
  <c r="H17" i="94"/>
  <c r="H13" i="94"/>
  <c r="H14" i="94"/>
  <c r="I17" i="94"/>
  <c r="H11" i="94"/>
  <c r="I13" i="94"/>
  <c r="I11" i="94"/>
  <c r="H18" i="94"/>
  <c r="H12" i="94"/>
  <c r="C17" i="37"/>
  <c r="G20" i="39"/>
  <c r="G7" i="39"/>
  <c r="G8" i="39"/>
  <c r="G9" i="39"/>
  <c r="G10" i="39"/>
  <c r="G11" i="39"/>
  <c r="G12" i="39"/>
  <c r="G13" i="39"/>
  <c r="G14" i="39"/>
  <c r="G15" i="39"/>
  <c r="G16" i="39"/>
  <c r="G17" i="39"/>
  <c r="G18" i="39"/>
  <c r="G19" i="39"/>
  <c r="G6" i="39"/>
  <c r="G5" i="39"/>
  <c r="E20" i="39"/>
  <c r="E19" i="39"/>
  <c r="E18" i="39"/>
  <c r="H18" i="37"/>
  <c r="C41" i="52" s="1"/>
  <c r="D7" i="39"/>
  <c r="D8" i="39"/>
  <c r="D9" i="39"/>
  <c r="D10" i="39"/>
  <c r="D11" i="39"/>
  <c r="D12" i="39"/>
  <c r="D13" i="39"/>
  <c r="F13" i="39" s="1"/>
  <c r="D14" i="39"/>
  <c r="D15" i="39"/>
  <c r="D16" i="39"/>
  <c r="D17" i="39"/>
  <c r="D18" i="39"/>
  <c r="D19" i="39"/>
  <c r="D20" i="39"/>
  <c r="D6" i="39"/>
  <c r="D5" i="39"/>
  <c r="E4" i="37"/>
  <c r="C6" i="39"/>
  <c r="C7" i="39"/>
  <c r="F7" i="39" s="1"/>
  <c r="C8" i="39"/>
  <c r="C9" i="39"/>
  <c r="F9" i="39" s="1"/>
  <c r="H9" i="39" s="1"/>
  <c r="C10" i="39"/>
  <c r="F10" i="39" s="1"/>
  <c r="C11" i="39"/>
  <c r="F11" i="39" s="1"/>
  <c r="C12" i="39"/>
  <c r="C13" i="39"/>
  <c r="C14" i="39"/>
  <c r="C15" i="39"/>
  <c r="F15" i="39" s="1"/>
  <c r="C16" i="39"/>
  <c r="C17" i="39"/>
  <c r="F17" i="39" s="1"/>
  <c r="H17" i="39" s="1"/>
  <c r="C5" i="39"/>
  <c r="I5" i="37"/>
  <c r="I6" i="37"/>
  <c r="I7" i="37"/>
  <c r="I8" i="37"/>
  <c r="I9" i="37"/>
  <c r="I10" i="37"/>
  <c r="I11" i="37"/>
  <c r="I12" i="37"/>
  <c r="I13" i="37"/>
  <c r="I14" i="37"/>
  <c r="I15" i="37"/>
  <c r="I16" i="37"/>
  <c r="I17" i="37"/>
  <c r="I18" i="37"/>
  <c r="I19" i="37"/>
  <c r="I20" i="37"/>
  <c r="I4" i="37"/>
  <c r="H19" i="37"/>
  <c r="D41" i="52" s="1"/>
  <c r="H20" i="37"/>
  <c r="E41" i="52" s="1"/>
  <c r="G5" i="37"/>
  <c r="G6" i="37"/>
  <c r="G7" i="37"/>
  <c r="G8" i="37"/>
  <c r="G9" i="37"/>
  <c r="G10" i="37"/>
  <c r="G11" i="37"/>
  <c r="G12" i="37"/>
  <c r="G13" i="37"/>
  <c r="G14" i="37"/>
  <c r="G15" i="37"/>
  <c r="G16" i="37"/>
  <c r="G17" i="37"/>
  <c r="G18" i="37"/>
  <c r="G19" i="37"/>
  <c r="G20" i="37"/>
  <c r="G4" i="37"/>
  <c r="F6" i="37"/>
  <c r="F7" i="37"/>
  <c r="F8" i="37"/>
  <c r="F9" i="37"/>
  <c r="F10" i="37"/>
  <c r="F11" i="37"/>
  <c r="F12" i="37"/>
  <c r="F13" i="37"/>
  <c r="F14" i="37"/>
  <c r="F15" i="37"/>
  <c r="F16" i="37"/>
  <c r="F17" i="37"/>
  <c r="F18" i="37"/>
  <c r="C38" i="52" s="1"/>
  <c r="F19" i="37"/>
  <c r="D38" i="52" s="1"/>
  <c r="F20" i="37"/>
  <c r="E38" i="52" s="1"/>
  <c r="F5" i="37"/>
  <c r="F4" i="37"/>
  <c r="E5" i="37"/>
  <c r="E6" i="37"/>
  <c r="E7" i="37"/>
  <c r="E8" i="37"/>
  <c r="E9" i="37"/>
  <c r="E10" i="37"/>
  <c r="E11" i="37"/>
  <c r="E12" i="37"/>
  <c r="E13" i="37"/>
  <c r="E14" i="37"/>
  <c r="E15" i="37"/>
  <c r="E16" i="37"/>
  <c r="E17" i="37"/>
  <c r="E18" i="37"/>
  <c r="C40" i="52" s="1"/>
  <c r="E19" i="37"/>
  <c r="D40" i="52" s="1"/>
  <c r="E20" i="37"/>
  <c r="E40" i="52" s="1"/>
  <c r="C4" i="37"/>
  <c r="D4" i="37"/>
  <c r="D20" i="37"/>
  <c r="E37" i="52" s="1"/>
  <c r="D5" i="37"/>
  <c r="D6" i="37"/>
  <c r="D7" i="37"/>
  <c r="D8" i="37"/>
  <c r="D9" i="37"/>
  <c r="D10" i="37"/>
  <c r="D11" i="37"/>
  <c r="D12" i="37"/>
  <c r="D13" i="37"/>
  <c r="D14" i="37"/>
  <c r="D15" i="37"/>
  <c r="D16" i="37"/>
  <c r="D17" i="37"/>
  <c r="D18" i="37"/>
  <c r="C37" i="52" s="1"/>
  <c r="D19" i="37"/>
  <c r="D37" i="52" s="1"/>
  <c r="C5" i="37"/>
  <c r="C6" i="37"/>
  <c r="C7" i="37"/>
  <c r="C8" i="37"/>
  <c r="C9" i="37"/>
  <c r="C10" i="37"/>
  <c r="C11" i="37"/>
  <c r="C12" i="37"/>
  <c r="C13" i="37"/>
  <c r="C14" i="37"/>
  <c r="C15" i="37"/>
  <c r="C16" i="37"/>
  <c r="E4" i="93"/>
  <c r="F4" i="93" s="1"/>
  <c r="G4" i="93" s="1"/>
  <c r="H4" i="93" s="1"/>
  <c r="I4" i="93" s="1"/>
  <c r="J4" i="93" s="1"/>
  <c r="K4" i="93" s="1"/>
  <c r="L4" i="93" s="1"/>
  <c r="M4" i="93" s="1"/>
  <c r="N4" i="93" s="1"/>
  <c r="O4" i="93" s="1"/>
  <c r="P4" i="93" s="1"/>
  <c r="Q4" i="93" s="1"/>
  <c r="R4" i="93" s="1"/>
  <c r="S4" i="93" s="1"/>
  <c r="T4" i="93" s="1"/>
  <c r="U4" i="93" s="1"/>
  <c r="V4" i="93" s="1"/>
  <c r="W4" i="93" s="1"/>
  <c r="X4" i="93" s="1"/>
  <c r="D4" i="93"/>
  <c r="G12" i="32"/>
  <c r="G8" i="32"/>
  <c r="E12" i="32"/>
  <c r="E8" i="32"/>
  <c r="C12" i="32"/>
  <c r="C8" i="32"/>
  <c r="B204" i="93"/>
  <c r="B203" i="93"/>
  <c r="B202" i="93"/>
  <c r="B201" i="93"/>
  <c r="B200" i="93"/>
  <c r="B199" i="93"/>
  <c r="B198" i="93"/>
  <c r="B197" i="93"/>
  <c r="B196" i="93"/>
  <c r="B195" i="93"/>
  <c r="B194" i="93"/>
  <c r="B193" i="93"/>
  <c r="B192" i="93"/>
  <c r="B191" i="93"/>
  <c r="B190" i="93"/>
  <c r="B189" i="93"/>
  <c r="B188" i="93"/>
  <c r="B187" i="93"/>
  <c r="B186" i="93"/>
  <c r="B185" i="93"/>
  <c r="B184" i="93"/>
  <c r="B183" i="93"/>
  <c r="B182" i="93"/>
  <c r="B181" i="93"/>
  <c r="B180" i="93"/>
  <c r="B179" i="93"/>
  <c r="B178" i="93"/>
  <c r="B177" i="93"/>
  <c r="B176" i="93"/>
  <c r="B175" i="93"/>
  <c r="B174" i="93"/>
  <c r="B173" i="93"/>
  <c r="B172" i="93"/>
  <c r="B171" i="93"/>
  <c r="B170" i="93"/>
  <c r="B169" i="93"/>
  <c r="B168" i="93"/>
  <c r="B167" i="93"/>
  <c r="B166" i="93"/>
  <c r="B165" i="93"/>
  <c r="B164" i="93"/>
  <c r="B163" i="93"/>
  <c r="B162" i="93"/>
  <c r="B161" i="93"/>
  <c r="B160" i="93"/>
  <c r="B159" i="93"/>
  <c r="B158" i="93"/>
  <c r="B157" i="93"/>
  <c r="B156" i="93"/>
  <c r="B155" i="93"/>
  <c r="B154" i="93"/>
  <c r="B153" i="93"/>
  <c r="B152" i="93"/>
  <c r="B151" i="93"/>
  <c r="B150" i="93"/>
  <c r="B149" i="93"/>
  <c r="B148" i="93"/>
  <c r="B147" i="93"/>
  <c r="B146" i="93"/>
  <c r="B145" i="93"/>
  <c r="B144" i="93"/>
  <c r="B143" i="93"/>
  <c r="B142" i="93"/>
  <c r="B141" i="93"/>
  <c r="B140" i="93"/>
  <c r="B139" i="93"/>
  <c r="B138" i="93"/>
  <c r="B137" i="93"/>
  <c r="B136" i="93"/>
  <c r="B135" i="93"/>
  <c r="B134" i="93"/>
  <c r="B133" i="93"/>
  <c r="B132" i="93"/>
  <c r="B131" i="93"/>
  <c r="B130" i="93"/>
  <c r="B129" i="93"/>
  <c r="B128" i="93"/>
  <c r="B127" i="93"/>
  <c r="B126" i="93"/>
  <c r="B125" i="93"/>
  <c r="B124" i="93"/>
  <c r="B123" i="93"/>
  <c r="B122" i="93"/>
  <c r="B121" i="93"/>
  <c r="B120" i="93"/>
  <c r="B119" i="93"/>
  <c r="B118" i="93"/>
  <c r="B117" i="93"/>
  <c r="B116" i="93"/>
  <c r="B115" i="93"/>
  <c r="B114" i="93"/>
  <c r="B113" i="93"/>
  <c r="B112" i="93"/>
  <c r="B111" i="93"/>
  <c r="B110" i="93"/>
  <c r="B109" i="93"/>
  <c r="B108" i="93"/>
  <c r="B107" i="93"/>
  <c r="B106" i="93"/>
  <c r="B105" i="93"/>
  <c r="B104" i="93"/>
  <c r="B103" i="93"/>
  <c r="B102" i="93"/>
  <c r="B101" i="93"/>
  <c r="B100" i="93"/>
  <c r="B99" i="93"/>
  <c r="B98" i="93"/>
  <c r="B97" i="93"/>
  <c r="B96" i="93"/>
  <c r="B95" i="93"/>
  <c r="B94" i="93"/>
  <c r="B93" i="93"/>
  <c r="B92" i="93"/>
  <c r="B91" i="93"/>
  <c r="B90" i="93"/>
  <c r="B89" i="93"/>
  <c r="B88" i="93"/>
  <c r="B87" i="93"/>
  <c r="B86" i="93"/>
  <c r="B85" i="93"/>
  <c r="B84" i="93"/>
  <c r="B83" i="93"/>
  <c r="B82" i="93"/>
  <c r="B81" i="93"/>
  <c r="B80" i="93"/>
  <c r="B79" i="93"/>
  <c r="B78" i="93"/>
  <c r="B77" i="93"/>
  <c r="B76" i="93"/>
  <c r="B75" i="93"/>
  <c r="B74" i="93"/>
  <c r="B73" i="93"/>
  <c r="B72" i="93"/>
  <c r="B71" i="93"/>
  <c r="B70" i="93"/>
  <c r="B69" i="93"/>
  <c r="B68" i="93"/>
  <c r="B67" i="93"/>
  <c r="B66" i="93"/>
  <c r="B65" i="93"/>
  <c r="B64" i="93"/>
  <c r="B63" i="93"/>
  <c r="B62" i="93"/>
  <c r="B61" i="93"/>
  <c r="B60" i="93"/>
  <c r="B59" i="93"/>
  <c r="B58" i="93"/>
  <c r="B57" i="93"/>
  <c r="B56" i="93"/>
  <c r="B55" i="93"/>
  <c r="B54" i="93"/>
  <c r="B53" i="93"/>
  <c r="B52" i="93"/>
  <c r="B51" i="93"/>
  <c r="B50" i="93"/>
  <c r="B49" i="93"/>
  <c r="B48" i="93"/>
  <c r="B47" i="93"/>
  <c r="B46" i="93"/>
  <c r="B45" i="93"/>
  <c r="B44" i="93"/>
  <c r="B43" i="93"/>
  <c r="B42" i="93"/>
  <c r="B41" i="93"/>
  <c r="B40" i="93"/>
  <c r="B39" i="93"/>
  <c r="B38" i="93"/>
  <c r="B37" i="93"/>
  <c r="B36" i="93"/>
  <c r="B35" i="93"/>
  <c r="B34" i="93"/>
  <c r="B33" i="93"/>
  <c r="B32" i="93"/>
  <c r="B31" i="93"/>
  <c r="B30" i="93"/>
  <c r="B29" i="93"/>
  <c r="B28" i="93"/>
  <c r="B27" i="93"/>
  <c r="B26" i="93"/>
  <c r="B25" i="93"/>
  <c r="B24" i="93"/>
  <c r="B23" i="93"/>
  <c r="B22" i="93"/>
  <c r="B21" i="93"/>
  <c r="B20" i="93"/>
  <c r="B19" i="93"/>
  <c r="B18" i="93"/>
  <c r="B17" i="93"/>
  <c r="B16" i="93"/>
  <c r="B15" i="93"/>
  <c r="B14" i="93"/>
  <c r="B13" i="93"/>
  <c r="B12" i="93"/>
  <c r="B11" i="93"/>
  <c r="B10" i="93"/>
  <c r="B9" i="93"/>
  <c r="B8" i="93"/>
  <c r="B7" i="93"/>
  <c r="K9" i="60"/>
  <c r="G4" i="44" s="1"/>
  <c r="K10" i="60"/>
  <c r="G6" i="94" s="1"/>
  <c r="K11" i="60"/>
  <c r="G7" i="94" s="1"/>
  <c r="K12" i="60"/>
  <c r="G8" i="94" s="1"/>
  <c r="K13" i="60"/>
  <c r="G9" i="94" s="1"/>
  <c r="K14" i="60"/>
  <c r="G10" i="94" s="1"/>
  <c r="K15" i="60"/>
  <c r="G11" i="94" s="1"/>
  <c r="K16" i="60"/>
  <c r="G12" i="94" s="1"/>
  <c r="K17" i="60"/>
  <c r="G13" i="94" s="1"/>
  <c r="K18" i="60"/>
  <c r="G14" i="94" s="1"/>
  <c r="K19" i="60"/>
  <c r="G15" i="94" s="1"/>
  <c r="K20" i="60"/>
  <c r="G16" i="94" s="1"/>
  <c r="K21" i="60"/>
  <c r="G17" i="94" s="1"/>
  <c r="K22" i="60"/>
  <c r="G18" i="94" s="1"/>
  <c r="K23" i="60"/>
  <c r="G19" i="94" s="1"/>
  <c r="K24" i="60"/>
  <c r="G20" i="94" s="1"/>
  <c r="D5" i="92"/>
  <c r="E6" i="92"/>
  <c r="E7" i="92"/>
  <c r="E8" i="92"/>
  <c r="E9" i="92"/>
  <c r="E10" i="92"/>
  <c r="E11" i="92"/>
  <c r="E12" i="92"/>
  <c r="E13" i="92"/>
  <c r="E14" i="92"/>
  <c r="E15" i="92"/>
  <c r="E16" i="92"/>
  <c r="E17" i="92"/>
  <c r="E18" i="92"/>
  <c r="E19" i="92"/>
  <c r="E20" i="92"/>
  <c r="E21" i="92"/>
  <c r="E5" i="92"/>
  <c r="B5" i="51"/>
  <c r="B6" i="51"/>
  <c r="B7" i="51"/>
  <c r="B8" i="51"/>
  <c r="B9" i="51"/>
  <c r="B10" i="51"/>
  <c r="B11" i="51"/>
  <c r="B12" i="51"/>
  <c r="B13" i="51"/>
  <c r="B14" i="51"/>
  <c r="B15" i="51"/>
  <c r="B16" i="51"/>
  <c r="B17" i="51"/>
  <c r="B18" i="51"/>
  <c r="B19" i="51"/>
  <c r="B20" i="51"/>
  <c r="B20" i="62"/>
  <c r="B19" i="62"/>
  <c r="B18" i="62"/>
  <c r="B17" i="62"/>
  <c r="B16" i="62"/>
  <c r="B15" i="62"/>
  <c r="B14" i="62"/>
  <c r="B13" i="62"/>
  <c r="B12" i="62"/>
  <c r="B11" i="62"/>
  <c r="B10" i="62"/>
  <c r="B9" i="62"/>
  <c r="B8" i="62"/>
  <c r="B7" i="62"/>
  <c r="B6" i="62"/>
  <c r="B5" i="62"/>
  <c r="B4" i="62"/>
  <c r="B4" i="51"/>
  <c r="D21" i="92"/>
  <c r="D20" i="92"/>
  <c r="D19" i="92"/>
  <c r="D18" i="92"/>
  <c r="D17" i="92"/>
  <c r="D16" i="92"/>
  <c r="D15" i="92"/>
  <c r="D14" i="92"/>
  <c r="D13" i="92"/>
  <c r="D12" i="92"/>
  <c r="D11" i="92"/>
  <c r="D10" i="92"/>
  <c r="D9" i="92"/>
  <c r="D8" i="92"/>
  <c r="D7" i="92"/>
  <c r="D6" i="92"/>
  <c r="AB204" i="90"/>
  <c r="AC204" i="90" s="1"/>
  <c r="Z204" i="90"/>
  <c r="B204" i="90"/>
  <c r="AB203" i="90"/>
  <c r="AE203" i="90" s="1"/>
  <c r="Z203" i="90"/>
  <c r="B203" i="90"/>
  <c r="AB202" i="90"/>
  <c r="AI202" i="90" s="1"/>
  <c r="Z202" i="90"/>
  <c r="B202" i="90"/>
  <c r="AB201" i="90"/>
  <c r="AD201" i="90" s="1"/>
  <c r="Z201" i="90"/>
  <c r="B201" i="90"/>
  <c r="AB200" i="90"/>
  <c r="AC200" i="90" s="1"/>
  <c r="Z200" i="90"/>
  <c r="B200" i="90"/>
  <c r="AB199" i="90"/>
  <c r="AC199" i="90" s="1"/>
  <c r="Z199" i="90"/>
  <c r="B199" i="90"/>
  <c r="AB198" i="90"/>
  <c r="AI198" i="90" s="1"/>
  <c r="Z198" i="90"/>
  <c r="B198" i="90"/>
  <c r="AB197" i="90"/>
  <c r="AC197" i="90" s="1"/>
  <c r="Z197" i="90"/>
  <c r="B197" i="90"/>
  <c r="AB196" i="90"/>
  <c r="AC196" i="90" s="1"/>
  <c r="Z196" i="90"/>
  <c r="B196" i="90"/>
  <c r="AB195" i="90"/>
  <c r="AC195" i="90" s="1"/>
  <c r="Z195" i="90"/>
  <c r="B195" i="90"/>
  <c r="AB194" i="90"/>
  <c r="AI194" i="90" s="1"/>
  <c r="Z194" i="90"/>
  <c r="B194" i="90"/>
  <c r="AB193" i="90"/>
  <c r="AD193" i="90" s="1"/>
  <c r="Z193" i="90"/>
  <c r="B193" i="90"/>
  <c r="AB192" i="90"/>
  <c r="AC192" i="90" s="1"/>
  <c r="Z192" i="90"/>
  <c r="B192" i="90"/>
  <c r="AB191" i="90"/>
  <c r="AC191" i="90" s="1"/>
  <c r="Z191" i="90"/>
  <c r="B191" i="90"/>
  <c r="AB190" i="90"/>
  <c r="AI190" i="90" s="1"/>
  <c r="Z190" i="90"/>
  <c r="B190" i="90"/>
  <c r="AB189" i="90"/>
  <c r="AC189" i="90" s="1"/>
  <c r="Z189" i="90"/>
  <c r="B189" i="90"/>
  <c r="AB188" i="90"/>
  <c r="AC188" i="90" s="1"/>
  <c r="Z188" i="90"/>
  <c r="B188" i="90"/>
  <c r="AB187" i="90"/>
  <c r="AC187" i="90" s="1"/>
  <c r="Z187" i="90"/>
  <c r="B187" i="90"/>
  <c r="AB186" i="90"/>
  <c r="AH186" i="90" s="1"/>
  <c r="Z186" i="90"/>
  <c r="B186" i="90"/>
  <c r="AB185" i="90"/>
  <c r="AD185" i="90" s="1"/>
  <c r="Z185" i="90"/>
  <c r="B185" i="90"/>
  <c r="AF184" i="90"/>
  <c r="AE184" i="90"/>
  <c r="AD184" i="90"/>
  <c r="AB184" i="90"/>
  <c r="AC184" i="90" s="1"/>
  <c r="Z184" i="90"/>
  <c r="B184" i="90"/>
  <c r="AB183" i="90"/>
  <c r="AC183" i="90" s="1"/>
  <c r="Z183" i="90"/>
  <c r="B183" i="90"/>
  <c r="AB182" i="90"/>
  <c r="AH182" i="90" s="1"/>
  <c r="Z182" i="90"/>
  <c r="B182" i="90"/>
  <c r="AB181" i="90"/>
  <c r="AC181" i="90" s="1"/>
  <c r="Z181" i="90"/>
  <c r="B181" i="90"/>
  <c r="AB180" i="90"/>
  <c r="Z180" i="90"/>
  <c r="B180" i="90"/>
  <c r="AB179" i="90"/>
  <c r="AC179" i="90" s="1"/>
  <c r="Z179" i="90"/>
  <c r="B179" i="90"/>
  <c r="AB178" i="90"/>
  <c r="Z178" i="90"/>
  <c r="B178" i="90"/>
  <c r="AB177" i="90"/>
  <c r="AH177" i="90" s="1"/>
  <c r="Z177" i="90"/>
  <c r="B177" i="90"/>
  <c r="AB176" i="90"/>
  <c r="AE176" i="90" s="1"/>
  <c r="Z176" i="90"/>
  <c r="B176" i="90"/>
  <c r="AB175" i="90"/>
  <c r="AC175" i="90" s="1"/>
  <c r="Z175" i="90"/>
  <c r="B175" i="90"/>
  <c r="AB174" i="90"/>
  <c r="AI174" i="90" s="1"/>
  <c r="Z174" i="90"/>
  <c r="B174" i="90"/>
  <c r="AB173" i="90"/>
  <c r="Z173" i="90"/>
  <c r="B173" i="90"/>
  <c r="AB172" i="90"/>
  <c r="Z172" i="90"/>
  <c r="B172" i="90"/>
  <c r="AB171" i="90"/>
  <c r="AC171" i="90" s="1"/>
  <c r="Z171" i="90"/>
  <c r="B171" i="90"/>
  <c r="AB170" i="90"/>
  <c r="AI170" i="90" s="1"/>
  <c r="Z170" i="90"/>
  <c r="B170" i="90"/>
  <c r="AB169" i="90"/>
  <c r="AD169" i="90" s="1"/>
  <c r="Z169" i="90"/>
  <c r="B169" i="90"/>
  <c r="AB168" i="90"/>
  <c r="Z168" i="90"/>
  <c r="B168" i="90"/>
  <c r="AB167" i="90"/>
  <c r="AC167" i="90" s="1"/>
  <c r="Z167" i="90"/>
  <c r="B167" i="90"/>
  <c r="AB166" i="90"/>
  <c r="Z166" i="90"/>
  <c r="B166" i="90"/>
  <c r="AB165" i="90"/>
  <c r="Z165" i="90"/>
  <c r="B165" i="90"/>
  <c r="AB164" i="90"/>
  <c r="AE164" i="90" s="1"/>
  <c r="Z164" i="90"/>
  <c r="B164" i="90"/>
  <c r="AB163" i="90"/>
  <c r="AC163" i="90" s="1"/>
  <c r="Z163" i="90"/>
  <c r="B163" i="90"/>
  <c r="AB162" i="90"/>
  <c r="AF162" i="90" s="1"/>
  <c r="Z162" i="90"/>
  <c r="B162" i="90"/>
  <c r="AB161" i="90"/>
  <c r="AC161" i="90" s="1"/>
  <c r="Z161" i="90"/>
  <c r="B161" i="90"/>
  <c r="AB160" i="90"/>
  <c r="Z160" i="90"/>
  <c r="B160" i="90"/>
  <c r="AB159" i="90"/>
  <c r="AC159" i="90" s="1"/>
  <c r="Z159" i="90"/>
  <c r="B159" i="90"/>
  <c r="AB158" i="90"/>
  <c r="Z158" i="90"/>
  <c r="B158" i="90"/>
  <c r="AB157" i="90"/>
  <c r="AH157" i="90" s="1"/>
  <c r="Z157" i="90"/>
  <c r="B157" i="90"/>
  <c r="AB156" i="90"/>
  <c r="AE156" i="90" s="1"/>
  <c r="Z156" i="90"/>
  <c r="B156" i="90"/>
  <c r="AB155" i="90"/>
  <c r="AC155" i="90" s="1"/>
  <c r="Z155" i="90"/>
  <c r="B155" i="90"/>
  <c r="AB154" i="90"/>
  <c r="AI154" i="90" s="1"/>
  <c r="Z154" i="90"/>
  <c r="B154" i="90"/>
  <c r="AB153" i="90"/>
  <c r="AI153" i="90" s="1"/>
  <c r="Z153" i="90"/>
  <c r="B153" i="90"/>
  <c r="AB152" i="90"/>
  <c r="Z152" i="90"/>
  <c r="B152" i="90"/>
  <c r="AB151" i="90"/>
  <c r="AC151" i="90" s="1"/>
  <c r="Z151" i="90"/>
  <c r="B151" i="90"/>
  <c r="AB150" i="90"/>
  <c r="AF150" i="90" s="1"/>
  <c r="Z150" i="90"/>
  <c r="B150" i="90"/>
  <c r="AB149" i="90"/>
  <c r="Z149" i="90"/>
  <c r="B149" i="90"/>
  <c r="AB148" i="90"/>
  <c r="Z148" i="90"/>
  <c r="B148" i="90"/>
  <c r="AB147" i="90"/>
  <c r="AC147" i="90" s="1"/>
  <c r="Z147" i="90"/>
  <c r="B147" i="90"/>
  <c r="AB146" i="90"/>
  <c r="Z146" i="90"/>
  <c r="B146" i="90"/>
  <c r="AB145" i="90"/>
  <c r="Z145" i="90"/>
  <c r="B145" i="90"/>
  <c r="AC144" i="90"/>
  <c r="AB144" i="90"/>
  <c r="AF144" i="90" s="1"/>
  <c r="Z144" i="90"/>
  <c r="B144" i="90"/>
  <c r="AB143" i="90"/>
  <c r="AC143" i="90" s="1"/>
  <c r="Z143" i="90"/>
  <c r="B143" i="90"/>
  <c r="AB142" i="90"/>
  <c r="AF142" i="90" s="1"/>
  <c r="Z142" i="90"/>
  <c r="B142" i="90"/>
  <c r="AB141" i="90"/>
  <c r="AI141" i="90" s="1"/>
  <c r="Z141" i="90"/>
  <c r="B141" i="90"/>
  <c r="AB140" i="90"/>
  <c r="AF140" i="90" s="1"/>
  <c r="Z140" i="90"/>
  <c r="B140" i="90"/>
  <c r="AB139" i="90"/>
  <c r="AC139" i="90" s="1"/>
  <c r="Z139" i="90"/>
  <c r="B139" i="90"/>
  <c r="AB138" i="90"/>
  <c r="AI138" i="90" s="1"/>
  <c r="Z138" i="90"/>
  <c r="B138" i="90"/>
  <c r="AB137" i="90"/>
  <c r="AH137" i="90" s="1"/>
  <c r="Z137" i="90"/>
  <c r="B137" i="90"/>
  <c r="AB136" i="90"/>
  <c r="AE136" i="90" s="1"/>
  <c r="Z136" i="90"/>
  <c r="B136" i="90"/>
  <c r="AB135" i="90"/>
  <c r="AC135" i="90" s="1"/>
  <c r="Z135" i="90"/>
  <c r="B135" i="90"/>
  <c r="AB134" i="90"/>
  <c r="AG134" i="90" s="1"/>
  <c r="Z134" i="90"/>
  <c r="B134" i="90"/>
  <c r="AB133" i="90"/>
  <c r="AE133" i="90" s="1"/>
  <c r="Z133" i="90"/>
  <c r="B133" i="90"/>
  <c r="AB132" i="90"/>
  <c r="AC132" i="90" s="1"/>
  <c r="Z132" i="90"/>
  <c r="B132" i="90"/>
  <c r="AD131" i="90"/>
  <c r="AB131" i="90"/>
  <c r="AC131" i="90" s="1"/>
  <c r="Z131" i="90"/>
  <c r="B131" i="90"/>
  <c r="AB130" i="90"/>
  <c r="AI130" i="90" s="1"/>
  <c r="Z130" i="90"/>
  <c r="B130" i="90"/>
  <c r="AB129" i="90"/>
  <c r="AI129" i="90" s="1"/>
  <c r="Z129" i="90"/>
  <c r="B129" i="90"/>
  <c r="AB128" i="90"/>
  <c r="AG128" i="90" s="1"/>
  <c r="Z128" i="90"/>
  <c r="B128" i="90"/>
  <c r="AB127" i="90"/>
  <c r="AC127" i="90" s="1"/>
  <c r="Z127" i="90"/>
  <c r="B127" i="90"/>
  <c r="AB126" i="90"/>
  <c r="Z126" i="90"/>
  <c r="B126" i="90"/>
  <c r="AB125" i="90"/>
  <c r="Z125" i="90"/>
  <c r="B125" i="90"/>
  <c r="AB124" i="90"/>
  <c r="Z124" i="90"/>
  <c r="B124" i="90"/>
  <c r="AB123" i="90"/>
  <c r="AD123" i="90" s="1"/>
  <c r="Z123" i="90"/>
  <c r="B123" i="90"/>
  <c r="AB122" i="90"/>
  <c r="AD122" i="90" s="1"/>
  <c r="Z122" i="90"/>
  <c r="B122" i="90"/>
  <c r="AB121" i="90"/>
  <c r="AF121" i="90" s="1"/>
  <c r="Z121" i="90"/>
  <c r="B121" i="90"/>
  <c r="AB120" i="90"/>
  <c r="AH120" i="90" s="1"/>
  <c r="Z120" i="90"/>
  <c r="B120" i="90"/>
  <c r="AB119" i="90"/>
  <c r="AC119" i="90" s="1"/>
  <c r="Z119" i="90"/>
  <c r="B119" i="90"/>
  <c r="AB118" i="90"/>
  <c r="AD118" i="90" s="1"/>
  <c r="Z118" i="90"/>
  <c r="B118" i="90"/>
  <c r="AB117" i="90"/>
  <c r="Z117" i="90"/>
  <c r="B117" i="90"/>
  <c r="AB116" i="90"/>
  <c r="AC116" i="90" s="1"/>
  <c r="Z116" i="90"/>
  <c r="B116" i="90"/>
  <c r="AB115" i="90"/>
  <c r="AH115" i="90" s="1"/>
  <c r="Z115" i="90"/>
  <c r="B115" i="90"/>
  <c r="AB114" i="90"/>
  <c r="AD114" i="90" s="1"/>
  <c r="Z114" i="90"/>
  <c r="B114" i="90"/>
  <c r="AB113" i="90"/>
  <c r="AF113" i="90" s="1"/>
  <c r="Z113" i="90"/>
  <c r="B113" i="90"/>
  <c r="AB112" i="90"/>
  <c r="AG112" i="90" s="1"/>
  <c r="Z112" i="90"/>
  <c r="B112" i="90"/>
  <c r="AB111" i="90"/>
  <c r="AC111" i="90" s="1"/>
  <c r="Z111" i="90"/>
  <c r="B111" i="90"/>
  <c r="AB110" i="90"/>
  <c r="AH110" i="90" s="1"/>
  <c r="Z110" i="90"/>
  <c r="B110" i="90"/>
  <c r="AB109" i="90"/>
  <c r="AI109" i="90" s="1"/>
  <c r="Z109" i="90"/>
  <c r="B109" i="90"/>
  <c r="AB108" i="90"/>
  <c r="AG108" i="90" s="1"/>
  <c r="Z108" i="90"/>
  <c r="B108" i="90"/>
  <c r="AB107" i="90"/>
  <c r="AC107" i="90" s="1"/>
  <c r="Z107" i="90"/>
  <c r="B107" i="90"/>
  <c r="AB106" i="90"/>
  <c r="AC106" i="90" s="1"/>
  <c r="Z106" i="90"/>
  <c r="B106" i="90"/>
  <c r="AB105" i="90"/>
  <c r="AE105" i="90" s="1"/>
  <c r="Z105" i="90"/>
  <c r="B105" i="90"/>
  <c r="AB104" i="90"/>
  <c r="AG104" i="90" s="1"/>
  <c r="Z104" i="90"/>
  <c r="B104" i="90"/>
  <c r="AB103" i="90"/>
  <c r="AC103" i="90" s="1"/>
  <c r="Z103" i="90"/>
  <c r="B103" i="90"/>
  <c r="AB102" i="90"/>
  <c r="AC102" i="90" s="1"/>
  <c r="Z102" i="90"/>
  <c r="B102" i="90"/>
  <c r="AB101" i="90"/>
  <c r="AE101" i="90" s="1"/>
  <c r="Z101" i="90"/>
  <c r="B101" i="90"/>
  <c r="AB100" i="90"/>
  <c r="AG100" i="90" s="1"/>
  <c r="Z100" i="90"/>
  <c r="B100" i="90"/>
  <c r="AB99" i="90"/>
  <c r="Z99" i="90"/>
  <c r="B99" i="90"/>
  <c r="AB98" i="90"/>
  <c r="AC98" i="90" s="1"/>
  <c r="Z98" i="90"/>
  <c r="B98" i="90"/>
  <c r="AB97" i="90"/>
  <c r="AE97" i="90" s="1"/>
  <c r="Z97" i="90"/>
  <c r="B97" i="90"/>
  <c r="AB96" i="90"/>
  <c r="AG96" i="90" s="1"/>
  <c r="Z96" i="90"/>
  <c r="B96" i="90"/>
  <c r="AB95" i="90"/>
  <c r="AC95" i="90" s="1"/>
  <c r="Z95" i="90"/>
  <c r="B95" i="90"/>
  <c r="AB94" i="90"/>
  <c r="AC94" i="90" s="1"/>
  <c r="Z94" i="90"/>
  <c r="B94" i="90"/>
  <c r="AB93" i="90"/>
  <c r="AE93" i="90" s="1"/>
  <c r="Z93" i="90"/>
  <c r="B93" i="90"/>
  <c r="AB92" i="90"/>
  <c r="AG92" i="90" s="1"/>
  <c r="Z92" i="90"/>
  <c r="B92" i="90"/>
  <c r="AB91" i="90"/>
  <c r="AC91" i="90" s="1"/>
  <c r="Z91" i="90"/>
  <c r="B91" i="90"/>
  <c r="AB90" i="90"/>
  <c r="AC90" i="90" s="1"/>
  <c r="Z90" i="90"/>
  <c r="B90" i="90"/>
  <c r="AB89" i="90"/>
  <c r="AE89" i="90" s="1"/>
  <c r="Z89" i="90"/>
  <c r="B89" i="90"/>
  <c r="AB88" i="90"/>
  <c r="AG88" i="90" s="1"/>
  <c r="Z88" i="90"/>
  <c r="B88" i="90"/>
  <c r="AB87" i="90"/>
  <c r="AC87" i="90" s="1"/>
  <c r="Z87" i="90"/>
  <c r="B87" i="90"/>
  <c r="AB86" i="90"/>
  <c r="AC86" i="90" s="1"/>
  <c r="Z86" i="90"/>
  <c r="B86" i="90"/>
  <c r="AB85" i="90"/>
  <c r="AE85" i="90" s="1"/>
  <c r="Z85" i="90"/>
  <c r="B85" i="90"/>
  <c r="AB84" i="90"/>
  <c r="AG84" i="90" s="1"/>
  <c r="Z84" i="90"/>
  <c r="B84" i="90"/>
  <c r="AB83" i="90"/>
  <c r="AC83" i="90" s="1"/>
  <c r="Z83" i="90"/>
  <c r="B83" i="90"/>
  <c r="AB82" i="90"/>
  <c r="AC82" i="90" s="1"/>
  <c r="Z82" i="90"/>
  <c r="B82" i="90"/>
  <c r="AB81" i="90"/>
  <c r="AE81" i="90" s="1"/>
  <c r="Z81" i="90"/>
  <c r="B81" i="90"/>
  <c r="AB80" i="90"/>
  <c r="AG80" i="90" s="1"/>
  <c r="Z80" i="90"/>
  <c r="B80" i="90"/>
  <c r="AB79" i="90"/>
  <c r="Z79" i="90"/>
  <c r="B79" i="90"/>
  <c r="AB78" i="90"/>
  <c r="AC78" i="90" s="1"/>
  <c r="Z78" i="90"/>
  <c r="B78" i="90"/>
  <c r="AB77" i="90"/>
  <c r="AE77" i="90" s="1"/>
  <c r="Z77" i="90"/>
  <c r="B77" i="90"/>
  <c r="AB76" i="90"/>
  <c r="AG76" i="90" s="1"/>
  <c r="Z76" i="90"/>
  <c r="B76" i="90"/>
  <c r="AB75" i="90"/>
  <c r="Z75" i="90"/>
  <c r="B75" i="90"/>
  <c r="AB74" i="90"/>
  <c r="AI74" i="90" s="1"/>
  <c r="Z74" i="90"/>
  <c r="B74" i="90"/>
  <c r="AB73" i="90"/>
  <c r="AE73" i="90" s="1"/>
  <c r="Z73" i="90"/>
  <c r="B73" i="90"/>
  <c r="AB72" i="90"/>
  <c r="AG72" i="90" s="1"/>
  <c r="Z72" i="90"/>
  <c r="B72" i="90"/>
  <c r="AB71" i="90"/>
  <c r="Z71" i="90"/>
  <c r="B71" i="90"/>
  <c r="AB70" i="90"/>
  <c r="AC70" i="90" s="1"/>
  <c r="Z70" i="90"/>
  <c r="B70" i="90"/>
  <c r="AB69" i="90"/>
  <c r="AE69" i="90" s="1"/>
  <c r="Z69" i="90"/>
  <c r="B69" i="90"/>
  <c r="AB68" i="90"/>
  <c r="AG68" i="90" s="1"/>
  <c r="Z68" i="90"/>
  <c r="B68" i="90"/>
  <c r="AB67" i="90"/>
  <c r="AC67" i="90" s="1"/>
  <c r="Z67" i="90"/>
  <c r="B67" i="90"/>
  <c r="AB66" i="90"/>
  <c r="AC66" i="90" s="1"/>
  <c r="Z66" i="90"/>
  <c r="B66" i="90"/>
  <c r="AB65" i="90"/>
  <c r="AE65" i="90" s="1"/>
  <c r="Z65" i="90"/>
  <c r="B65" i="90"/>
  <c r="AB64" i="90"/>
  <c r="AG64" i="90" s="1"/>
  <c r="Z64" i="90"/>
  <c r="B64" i="90"/>
  <c r="AB63" i="90"/>
  <c r="AC63" i="90" s="1"/>
  <c r="Z63" i="90"/>
  <c r="B63" i="90"/>
  <c r="AB62" i="90"/>
  <c r="AC62" i="90" s="1"/>
  <c r="Z62" i="90"/>
  <c r="B62" i="90"/>
  <c r="AB61" i="90"/>
  <c r="AE61" i="90" s="1"/>
  <c r="Z61" i="90"/>
  <c r="B61" i="90"/>
  <c r="AB60" i="90"/>
  <c r="AH60" i="90" s="1"/>
  <c r="Z60" i="90"/>
  <c r="B60" i="90"/>
  <c r="AB59" i="90"/>
  <c r="Z59" i="90"/>
  <c r="B59" i="90"/>
  <c r="AB58" i="90"/>
  <c r="AC58" i="90" s="1"/>
  <c r="Z58" i="90"/>
  <c r="B58" i="90"/>
  <c r="AB57" i="90"/>
  <c r="AE57" i="90" s="1"/>
  <c r="Z57" i="90"/>
  <c r="B57" i="90"/>
  <c r="AB56" i="90"/>
  <c r="Z56" i="90"/>
  <c r="B56" i="90"/>
  <c r="AB55" i="90"/>
  <c r="AD55" i="90" s="1"/>
  <c r="Z55" i="90"/>
  <c r="B55" i="90"/>
  <c r="AB54" i="90"/>
  <c r="AC54" i="90" s="1"/>
  <c r="Z54" i="90"/>
  <c r="B54" i="90"/>
  <c r="AB53" i="90"/>
  <c r="AE53" i="90" s="1"/>
  <c r="Z53" i="90"/>
  <c r="B53" i="90"/>
  <c r="AB52" i="90"/>
  <c r="AH52" i="90" s="1"/>
  <c r="Z52" i="90"/>
  <c r="B52" i="90"/>
  <c r="AB51" i="90"/>
  <c r="Z51" i="90"/>
  <c r="B51" i="90"/>
  <c r="AB50" i="90"/>
  <c r="AC50" i="90" s="1"/>
  <c r="Z50" i="90"/>
  <c r="B50" i="90"/>
  <c r="AB49" i="90"/>
  <c r="AE49" i="90" s="1"/>
  <c r="Z49" i="90"/>
  <c r="B49" i="90"/>
  <c r="AB48" i="90"/>
  <c r="AI48" i="90" s="1"/>
  <c r="Z48" i="90"/>
  <c r="B48" i="90"/>
  <c r="AB47" i="90"/>
  <c r="AC47" i="90" s="1"/>
  <c r="Z47" i="90"/>
  <c r="B47" i="90"/>
  <c r="AG46" i="90"/>
  <c r="AF46" i="90"/>
  <c r="AE46" i="90"/>
  <c r="AB46" i="90"/>
  <c r="AC46" i="90" s="1"/>
  <c r="Z46" i="90"/>
  <c r="B46" i="90"/>
  <c r="AB45" i="90"/>
  <c r="AE45" i="90" s="1"/>
  <c r="Z45" i="90"/>
  <c r="B45" i="90"/>
  <c r="AB44" i="90"/>
  <c r="AC44" i="90" s="1"/>
  <c r="Z44" i="90"/>
  <c r="B44" i="90"/>
  <c r="AB43" i="90"/>
  <c r="Z43" i="90"/>
  <c r="B43" i="90"/>
  <c r="AB42" i="90"/>
  <c r="AC42" i="90" s="1"/>
  <c r="Z42" i="90"/>
  <c r="B42" i="90"/>
  <c r="AB41" i="90"/>
  <c r="AE41" i="90" s="1"/>
  <c r="Z41" i="90"/>
  <c r="B41" i="90"/>
  <c r="AB40" i="90"/>
  <c r="AG40" i="90" s="1"/>
  <c r="Z40" i="90"/>
  <c r="B40" i="90"/>
  <c r="AB39" i="90"/>
  <c r="Z39" i="90"/>
  <c r="B39" i="90"/>
  <c r="AB38" i="90"/>
  <c r="AC38" i="90" s="1"/>
  <c r="Z38" i="90"/>
  <c r="B38" i="90"/>
  <c r="AB37" i="90"/>
  <c r="AE37" i="90" s="1"/>
  <c r="Z37" i="90"/>
  <c r="B37" i="90"/>
  <c r="AB36" i="90"/>
  <c r="AG36" i="90" s="1"/>
  <c r="Z36" i="90"/>
  <c r="B36" i="90"/>
  <c r="AB35" i="90"/>
  <c r="Z35" i="90"/>
  <c r="B35" i="90"/>
  <c r="AB34" i="90"/>
  <c r="AC34" i="90" s="1"/>
  <c r="Z34" i="90"/>
  <c r="B34" i="90"/>
  <c r="AB33" i="90"/>
  <c r="AE33" i="90" s="1"/>
  <c r="Z33" i="90"/>
  <c r="B33" i="90"/>
  <c r="AB32" i="90"/>
  <c r="AG32" i="90" s="1"/>
  <c r="Z32" i="90"/>
  <c r="B32" i="90"/>
  <c r="AB31" i="90"/>
  <c r="Z31" i="90"/>
  <c r="B31" i="90"/>
  <c r="AB30" i="90"/>
  <c r="AC30" i="90" s="1"/>
  <c r="Z30" i="90"/>
  <c r="B30" i="90"/>
  <c r="AB29" i="90"/>
  <c r="AE29" i="90" s="1"/>
  <c r="Z29" i="90"/>
  <c r="B29" i="90"/>
  <c r="AB28" i="90"/>
  <c r="AG28" i="90" s="1"/>
  <c r="Z28" i="90"/>
  <c r="B28" i="90"/>
  <c r="AB27" i="90"/>
  <c r="Z27" i="90"/>
  <c r="B27" i="90"/>
  <c r="AB26" i="90"/>
  <c r="AC26" i="90" s="1"/>
  <c r="Z26" i="90"/>
  <c r="B26" i="90"/>
  <c r="AB25" i="90"/>
  <c r="AE25" i="90" s="1"/>
  <c r="Z25" i="90"/>
  <c r="B25" i="90"/>
  <c r="AB24" i="90"/>
  <c r="AG24" i="90" s="1"/>
  <c r="Z24" i="90"/>
  <c r="B24" i="90"/>
  <c r="AB23" i="90"/>
  <c r="AC23" i="90" s="1"/>
  <c r="Z23" i="90"/>
  <c r="B23" i="90"/>
  <c r="AB22" i="90"/>
  <c r="AC22" i="90" s="1"/>
  <c r="Z22" i="90"/>
  <c r="B22" i="90"/>
  <c r="AG21" i="90"/>
  <c r="AF21" i="90"/>
  <c r="AB21" i="90"/>
  <c r="AE21" i="90" s="1"/>
  <c r="Z21" i="90"/>
  <c r="B21" i="90"/>
  <c r="AB20" i="90"/>
  <c r="AG20" i="90" s="1"/>
  <c r="Z20" i="90"/>
  <c r="B20" i="90"/>
  <c r="AB19" i="90"/>
  <c r="Z19" i="90"/>
  <c r="B19" i="90"/>
  <c r="AB18" i="90"/>
  <c r="AC18" i="90" s="1"/>
  <c r="Z18" i="90"/>
  <c r="B18" i="90"/>
  <c r="AB17" i="90"/>
  <c r="AE17" i="90" s="1"/>
  <c r="Z17" i="90"/>
  <c r="B17" i="90"/>
  <c r="AB16" i="90"/>
  <c r="AG16" i="90" s="1"/>
  <c r="Z16" i="90"/>
  <c r="B16" i="90"/>
  <c r="AB15" i="90"/>
  <c r="Z15" i="90"/>
  <c r="B15" i="90"/>
  <c r="AB14" i="90"/>
  <c r="AC14" i="90" s="1"/>
  <c r="Z14" i="90"/>
  <c r="B14" i="90"/>
  <c r="AB13" i="90"/>
  <c r="AE13" i="90" s="1"/>
  <c r="Z13" i="90"/>
  <c r="B13" i="90"/>
  <c r="AB12" i="90"/>
  <c r="AG12" i="90" s="1"/>
  <c r="Z12" i="90"/>
  <c r="B12" i="90"/>
  <c r="AB11" i="90"/>
  <c r="Z11" i="90"/>
  <c r="B11" i="90"/>
  <c r="AB10" i="90"/>
  <c r="AC10" i="90" s="1"/>
  <c r="Z10" i="90"/>
  <c r="B10" i="90"/>
  <c r="AB9" i="90"/>
  <c r="AE9" i="90" s="1"/>
  <c r="Z9" i="90"/>
  <c r="B9" i="90"/>
  <c r="AB8" i="90"/>
  <c r="AG8" i="90" s="1"/>
  <c r="Z8" i="90"/>
  <c r="B8" i="90"/>
  <c r="AB7" i="90"/>
  <c r="Z7" i="90"/>
  <c r="B7" i="90"/>
  <c r="E14" i="32" l="1"/>
  <c r="C14" i="32"/>
  <c r="F19" i="39"/>
  <c r="F5" i="39"/>
  <c r="G14" i="32"/>
  <c r="H12" i="32" s="1"/>
  <c r="F18" i="39"/>
  <c r="F14" i="39"/>
  <c r="H14" i="39" s="1"/>
  <c r="D39" i="45"/>
  <c r="C39" i="45"/>
  <c r="E39" i="45"/>
  <c r="D39" i="48"/>
  <c r="C39" i="48"/>
  <c r="I42" i="65"/>
  <c r="E26" i="65"/>
  <c r="H26" i="65" s="1"/>
  <c r="F16" i="39"/>
  <c r="H16" i="39" s="1"/>
  <c r="F8" i="39"/>
  <c r="H8" i="39" s="1"/>
  <c r="F6" i="39"/>
  <c r="F12" i="39"/>
  <c r="H12" i="39" s="1"/>
  <c r="F26" i="36"/>
  <c r="F49" i="52"/>
  <c r="C57" i="52"/>
  <c r="H34" i="36"/>
  <c r="C49" i="52"/>
  <c r="H26" i="36"/>
  <c r="D62" i="52"/>
  <c r="G39" i="36"/>
  <c r="E56" i="52"/>
  <c r="E33" i="36"/>
  <c r="E48" i="52"/>
  <c r="E25" i="36"/>
  <c r="C55" i="52"/>
  <c r="H32" i="36"/>
  <c r="H24" i="36"/>
  <c r="C47" i="52"/>
  <c r="F58" i="52"/>
  <c r="F35" i="36"/>
  <c r="F27" i="36"/>
  <c r="F50" i="52"/>
  <c r="D60" i="52"/>
  <c r="G37" i="36"/>
  <c r="G29" i="36"/>
  <c r="D52" i="52"/>
  <c r="C54" i="52"/>
  <c r="H31" i="36"/>
  <c r="E54" i="52"/>
  <c r="E31" i="36"/>
  <c r="C53" i="52"/>
  <c r="H30" i="36"/>
  <c r="F48" i="52"/>
  <c r="F25" i="36"/>
  <c r="E53" i="52"/>
  <c r="E30" i="36"/>
  <c r="H37" i="36"/>
  <c r="C60" i="52"/>
  <c r="H29" i="36"/>
  <c r="C52" i="52"/>
  <c r="E46" i="52"/>
  <c r="E23" i="36"/>
  <c r="F32" i="36"/>
  <c r="F55" i="52"/>
  <c r="F24" i="36"/>
  <c r="F47" i="52"/>
  <c r="G34" i="36"/>
  <c r="D57" i="52"/>
  <c r="G26" i="36"/>
  <c r="D49" i="52"/>
  <c r="C62" i="52"/>
  <c r="H39" i="36"/>
  <c r="D59" i="52"/>
  <c r="G36" i="36"/>
  <c r="F56" i="52"/>
  <c r="F33" i="36"/>
  <c r="E52" i="52"/>
  <c r="E29" i="36"/>
  <c r="C59" i="52"/>
  <c r="H36" i="36"/>
  <c r="H28" i="36"/>
  <c r="C51" i="52"/>
  <c r="F39" i="36"/>
  <c r="F62" i="52"/>
  <c r="F31" i="36"/>
  <c r="F54" i="52"/>
  <c r="D46" i="52"/>
  <c r="G23" i="36"/>
  <c r="G33" i="36"/>
  <c r="D56" i="52"/>
  <c r="G25" i="36"/>
  <c r="D48" i="52"/>
  <c r="E55" i="52"/>
  <c r="E32" i="36"/>
  <c r="F34" i="36"/>
  <c r="F57" i="52"/>
  <c r="D51" i="52"/>
  <c r="G28" i="36"/>
  <c r="C61" i="52"/>
  <c r="H38" i="36"/>
  <c r="C46" i="52"/>
  <c r="H23" i="36"/>
  <c r="G35" i="36"/>
  <c r="D58" i="52"/>
  <c r="D50" i="52"/>
  <c r="G27" i="36"/>
  <c r="E28" i="36"/>
  <c r="E51" i="52"/>
  <c r="H35" i="36"/>
  <c r="C58" i="52"/>
  <c r="H27" i="36"/>
  <c r="C50" i="52"/>
  <c r="F38" i="36"/>
  <c r="F61" i="52"/>
  <c r="F30" i="36"/>
  <c r="F53" i="52"/>
  <c r="G24" i="36"/>
  <c r="D47" i="52"/>
  <c r="G32" i="36"/>
  <c r="D55" i="52"/>
  <c r="G62" i="52"/>
  <c r="D39" i="36"/>
  <c r="F23" i="36"/>
  <c r="F46" i="52"/>
  <c r="E36" i="36"/>
  <c r="E59" i="52"/>
  <c r="E47" i="52"/>
  <c r="E24" i="36"/>
  <c r="E58" i="52"/>
  <c r="E35" i="36"/>
  <c r="E50" i="52"/>
  <c r="I50" i="52" s="1"/>
  <c r="E27" i="36"/>
  <c r="F37" i="36"/>
  <c r="F60" i="52"/>
  <c r="F52" i="52"/>
  <c r="F29" i="36"/>
  <c r="D54" i="52"/>
  <c r="G31" i="36"/>
  <c r="E34" i="36"/>
  <c r="E57" i="52"/>
  <c r="E26" i="36"/>
  <c r="E49" i="52"/>
  <c r="I49" i="52" s="1"/>
  <c r="H33" i="36"/>
  <c r="C56" i="52"/>
  <c r="H25" i="36"/>
  <c r="C48" i="52"/>
  <c r="F59" i="52"/>
  <c r="F36" i="36"/>
  <c r="F51" i="52"/>
  <c r="F28" i="36"/>
  <c r="D61" i="52"/>
  <c r="G38" i="36"/>
  <c r="G30" i="36"/>
  <c r="D53" i="52"/>
  <c r="G61" i="52"/>
  <c r="D38" i="36"/>
  <c r="G60" i="52"/>
  <c r="D37" i="36"/>
  <c r="H11" i="39"/>
  <c r="H10" i="39"/>
  <c r="G15" i="44"/>
  <c r="G14" i="44"/>
  <c r="G6" i="44"/>
  <c r="H19" i="39"/>
  <c r="G13" i="44"/>
  <c r="H15" i="39"/>
  <c r="G7" i="44"/>
  <c r="H6" i="39"/>
  <c r="H7" i="39"/>
  <c r="G5" i="44"/>
  <c r="G12" i="44"/>
  <c r="G5" i="94"/>
  <c r="H5" i="39"/>
  <c r="D38" i="53"/>
  <c r="G19" i="44"/>
  <c r="G11" i="44"/>
  <c r="G18" i="44"/>
  <c r="G10" i="44"/>
  <c r="G17" i="44"/>
  <c r="G9" i="44"/>
  <c r="H13" i="39"/>
  <c r="G16" i="44"/>
  <c r="G8" i="44"/>
  <c r="F20" i="39"/>
  <c r="E38" i="53"/>
  <c r="F14" i="32"/>
  <c r="D14" i="32"/>
  <c r="D6" i="32"/>
  <c r="AI108" i="90"/>
  <c r="AD110" i="90"/>
  <c r="AE110" i="90"/>
  <c r="AF110" i="90"/>
  <c r="AG110" i="90"/>
  <c r="AC110" i="90"/>
  <c r="AF18" i="90"/>
  <c r="AI22" i="90"/>
  <c r="AH32" i="90"/>
  <c r="AI73" i="90"/>
  <c r="AD86" i="90"/>
  <c r="AE119" i="90"/>
  <c r="AG120" i="90"/>
  <c r="AG142" i="90"/>
  <c r="AD171" i="90"/>
  <c r="AD32" i="90"/>
  <c r="AG73" i="90"/>
  <c r="AF114" i="90"/>
  <c r="AF9" i="90"/>
  <c r="AG18" i="90"/>
  <c r="AF119" i="90"/>
  <c r="AH142" i="90"/>
  <c r="AH169" i="90"/>
  <c r="AF171" i="90"/>
  <c r="AG9" i="90"/>
  <c r="AG97" i="90"/>
  <c r="AG119" i="90"/>
  <c r="AI142" i="90"/>
  <c r="AD144" i="90"/>
  <c r="AD167" i="90"/>
  <c r="AH13" i="90"/>
  <c r="AI97" i="90"/>
  <c r="AH119" i="90"/>
  <c r="AE131" i="90"/>
  <c r="AD133" i="90"/>
  <c r="AE144" i="90"/>
  <c r="AG191" i="90"/>
  <c r="AE18" i="90"/>
  <c r="AD119" i="90"/>
  <c r="AI119" i="90"/>
  <c r="AF131" i="90"/>
  <c r="AD189" i="90"/>
  <c r="AH108" i="90"/>
  <c r="AG187" i="90"/>
  <c r="AH9" i="90"/>
  <c r="AI32" i="90"/>
  <c r="AH42" i="90"/>
  <c r="AE78" i="90"/>
  <c r="AE123" i="90"/>
  <c r="AG163" i="90"/>
  <c r="AC193" i="90"/>
  <c r="AF78" i="90"/>
  <c r="AF123" i="90"/>
  <c r="AH163" i="90"/>
  <c r="AE187" i="90"/>
  <c r="AD78" i="90"/>
  <c r="AC45" i="90"/>
  <c r="AG78" i="90"/>
  <c r="AG98" i="90"/>
  <c r="AD45" i="90"/>
  <c r="AE114" i="90"/>
  <c r="AF45" i="90"/>
  <c r="AG54" i="90"/>
  <c r="AC32" i="90"/>
  <c r="AH36" i="90"/>
  <c r="AG45" i="90"/>
  <c r="AE120" i="90"/>
  <c r="AH133" i="90"/>
  <c r="AF143" i="90"/>
  <c r="AH22" i="90"/>
  <c r="AF26" i="90"/>
  <c r="AI34" i="90"/>
  <c r="AD36" i="90"/>
  <c r="AG42" i="90"/>
  <c r="AH45" i="90"/>
  <c r="AI49" i="90"/>
  <c r="AH73" i="90"/>
  <c r="AI100" i="90"/>
  <c r="AG136" i="90"/>
  <c r="AF175" i="90"/>
  <c r="AH21" i="90"/>
  <c r="AG29" i="90"/>
  <c r="AI42" i="90"/>
  <c r="AD113" i="90"/>
  <c r="AG114" i="90"/>
  <c r="AD143" i="90"/>
  <c r="AF167" i="90"/>
  <c r="AC185" i="90"/>
  <c r="AE200" i="90"/>
  <c r="AI21" i="90"/>
  <c r="AF54" i="90"/>
  <c r="AE113" i="90"/>
  <c r="AE143" i="90"/>
  <c r="AI163" i="90"/>
  <c r="AH198" i="90"/>
  <c r="AG113" i="90"/>
  <c r="AG37" i="90"/>
  <c r="AD42" i="90"/>
  <c r="AG53" i="90"/>
  <c r="AE74" i="90"/>
  <c r="AG143" i="90"/>
  <c r="AG154" i="90"/>
  <c r="AE192" i="90"/>
  <c r="AD26" i="90"/>
  <c r="AF34" i="90"/>
  <c r="AE42" i="90"/>
  <c r="AH53" i="90"/>
  <c r="AF65" i="90"/>
  <c r="AF74" i="90"/>
  <c r="AI80" i="90"/>
  <c r="AI104" i="90"/>
  <c r="AI115" i="90"/>
  <c r="AH143" i="90"/>
  <c r="AD175" i="90"/>
  <c r="AH194" i="90"/>
  <c r="AC201" i="90"/>
  <c r="AH14" i="90"/>
  <c r="AF22" i="90"/>
  <c r="AE26" i="90"/>
  <c r="AH34" i="90"/>
  <c r="AC36" i="90"/>
  <c r="AF42" i="90"/>
  <c r="AI53" i="90"/>
  <c r="AG74" i="90"/>
  <c r="AH100" i="90"/>
  <c r="AF102" i="90"/>
  <c r="AC123" i="90"/>
  <c r="AF136" i="90"/>
  <c r="AI143" i="90"/>
  <c r="AF164" i="90"/>
  <c r="AE175" i="90"/>
  <c r="H18" i="39"/>
  <c r="AF77" i="90"/>
  <c r="AD132" i="90"/>
  <c r="AD151" i="90"/>
  <c r="AD176" i="90"/>
  <c r="AH20" i="90"/>
  <c r="AE44" i="90"/>
  <c r="AH77" i="90"/>
  <c r="AE188" i="90"/>
  <c r="AH17" i="90"/>
  <c r="AH18" i="90"/>
  <c r="AI20" i="90"/>
  <c r="AG25" i="90"/>
  <c r="AG26" i="90"/>
  <c r="AF30" i="90"/>
  <c r="AG33" i="90"/>
  <c r="AH38" i="90"/>
  <c r="AC40" i="90"/>
  <c r="AC49" i="90"/>
  <c r="AG57" i="90"/>
  <c r="AI68" i="90"/>
  <c r="AE70" i="90"/>
  <c r="AH72" i="90"/>
  <c r="AE94" i="90"/>
  <c r="AH96" i="90"/>
  <c r="AG101" i="90"/>
  <c r="AH105" i="90"/>
  <c r="AH109" i="90"/>
  <c r="AF122" i="90"/>
  <c r="AG123" i="90"/>
  <c r="AG131" i="90"/>
  <c r="AF132" i="90"/>
  <c r="AH141" i="90"/>
  <c r="AF151" i="90"/>
  <c r="AD155" i="90"/>
  <c r="AE159" i="90"/>
  <c r="AH162" i="90"/>
  <c r="AF174" i="90"/>
  <c r="AG175" i="90"/>
  <c r="AF176" i="90"/>
  <c r="AD183" i="90"/>
  <c r="AH190" i="90"/>
  <c r="AD197" i="90"/>
  <c r="AE199" i="90"/>
  <c r="AC61" i="90"/>
  <c r="AE195" i="90"/>
  <c r="AF38" i="90"/>
  <c r="AD70" i="90"/>
  <c r="AD94" i="90"/>
  <c r="AG135" i="90"/>
  <c r="AE151" i="90"/>
  <c r="AE10" i="90"/>
  <c r="AD14" i="90"/>
  <c r="AI17" i="90"/>
  <c r="AI25" i="90"/>
  <c r="AH26" i="90"/>
  <c r="AH30" i="90"/>
  <c r="AI38" i="90"/>
  <c r="AD40" i="90"/>
  <c r="AD49" i="90"/>
  <c r="AE50" i="90"/>
  <c r="AH57" i="90"/>
  <c r="AH64" i="90"/>
  <c r="AF70" i="90"/>
  <c r="AH81" i="90"/>
  <c r="AC93" i="90"/>
  <c r="AF94" i="90"/>
  <c r="AD98" i="90"/>
  <c r="AI101" i="90"/>
  <c r="AI110" i="90"/>
  <c r="AH112" i="90"/>
  <c r="AC115" i="90"/>
  <c r="AD121" i="90"/>
  <c r="AG122" i="90"/>
  <c r="AH123" i="90"/>
  <c r="AH131" i="90"/>
  <c r="AF134" i="90"/>
  <c r="AE137" i="90"/>
  <c r="AD139" i="90"/>
  <c r="AH147" i="90"/>
  <c r="AG151" i="90"/>
  <c r="AF155" i="90"/>
  <c r="AF159" i="90"/>
  <c r="AI162" i="90"/>
  <c r="AF170" i="90"/>
  <c r="AH174" i="90"/>
  <c r="AH175" i="90"/>
  <c r="AD181" i="90"/>
  <c r="AF183" i="90"/>
  <c r="AG199" i="90"/>
  <c r="AG41" i="90"/>
  <c r="AE135" i="90"/>
  <c r="AH202" i="90"/>
  <c r="AD204" i="90"/>
  <c r="AF57" i="90"/>
  <c r="AE122" i="90"/>
  <c r="AE132" i="90"/>
  <c r="AG195" i="90"/>
  <c r="AF10" i="90"/>
  <c r="AF14" i="90"/>
  <c r="AI26" i="90"/>
  <c r="AI30" i="90"/>
  <c r="AH40" i="90"/>
  <c r="AF49" i="90"/>
  <c r="AF50" i="90"/>
  <c r="AD62" i="90"/>
  <c r="AF93" i="90"/>
  <c r="AE98" i="90"/>
  <c r="AD115" i="90"/>
  <c r="AE121" i="90"/>
  <c r="AI131" i="90"/>
  <c r="AH134" i="90"/>
  <c r="AI137" i="90"/>
  <c r="AH151" i="90"/>
  <c r="AG159" i="90"/>
  <c r="AI175" i="90"/>
  <c r="AI179" i="90"/>
  <c r="AG203" i="90"/>
  <c r="AF17" i="90"/>
  <c r="AG17" i="90"/>
  <c r="AD159" i="90"/>
  <c r="AG14" i="90"/>
  <c r="AG49" i="90"/>
  <c r="AG50" i="90"/>
  <c r="AG93" i="90"/>
  <c r="AF98" i="90"/>
  <c r="AE115" i="90"/>
  <c r="AG121" i="90"/>
  <c r="AH159" i="90"/>
  <c r="AE196" i="90"/>
  <c r="AG13" i="90"/>
  <c r="AH49" i="90"/>
  <c r="AF89" i="90"/>
  <c r="AI159" i="90"/>
  <c r="AE191" i="90"/>
  <c r="AH8" i="90"/>
  <c r="AI9" i="90"/>
  <c r="AH10" i="90"/>
  <c r="AI12" i="90"/>
  <c r="AI24" i="90"/>
  <c r="AI28" i="90"/>
  <c r="AI36" i="90"/>
  <c r="AI40" i="90"/>
  <c r="AI45" i="90"/>
  <c r="AI52" i="90"/>
  <c r="AD58" i="90"/>
  <c r="AF61" i="90"/>
  <c r="AE62" i="90"/>
  <c r="AG65" i="90"/>
  <c r="AF66" i="90"/>
  <c r="AH69" i="90"/>
  <c r="AG70" i="90"/>
  <c r="AI72" i="90"/>
  <c r="AD82" i="90"/>
  <c r="AF85" i="90"/>
  <c r="AE86" i="90"/>
  <c r="AG89" i="90"/>
  <c r="AF90" i="90"/>
  <c r="AH92" i="90"/>
  <c r="AH93" i="90"/>
  <c r="AG94" i="90"/>
  <c r="AI96" i="90"/>
  <c r="AD106" i="90"/>
  <c r="AC109" i="90"/>
  <c r="AI112" i="90"/>
  <c r="AH113" i="90"/>
  <c r="AH114" i="90"/>
  <c r="AF115" i="90"/>
  <c r="AI120" i="90"/>
  <c r="AH121" i="90"/>
  <c r="AF127" i="90"/>
  <c r="AG132" i="90"/>
  <c r="AI133" i="90"/>
  <c r="AI134" i="90"/>
  <c r="AH135" i="90"/>
  <c r="AE139" i="90"/>
  <c r="AC140" i="90"/>
  <c r="AC153" i="90"/>
  <c r="AH154" i="90"/>
  <c r="AG155" i="90"/>
  <c r="AF156" i="90"/>
  <c r="AG167" i="90"/>
  <c r="AH170" i="90"/>
  <c r="AG171" i="90"/>
  <c r="AD179" i="90"/>
  <c r="AG183" i="90"/>
  <c r="AH187" i="90"/>
  <c r="AH191" i="90"/>
  <c r="AH195" i="90"/>
  <c r="AH199" i="90"/>
  <c r="AI8" i="90"/>
  <c r="AD22" i="90"/>
  <c r="AD30" i="90"/>
  <c r="AD34" i="90"/>
  <c r="AD38" i="90"/>
  <c r="AE58" i="90"/>
  <c r="AG61" i="90"/>
  <c r="AF62" i="90"/>
  <c r="AH65" i="90"/>
  <c r="AG66" i="90"/>
  <c r="AH68" i="90"/>
  <c r="AI69" i="90"/>
  <c r="AF81" i="90"/>
  <c r="AE82" i="90"/>
  <c r="AG85" i="90"/>
  <c r="AF86" i="90"/>
  <c r="AH89" i="90"/>
  <c r="AG90" i="90"/>
  <c r="AI92" i="90"/>
  <c r="AI93" i="90"/>
  <c r="AD102" i="90"/>
  <c r="AF105" i="90"/>
  <c r="AE106" i="90"/>
  <c r="AD109" i="90"/>
  <c r="AI113" i="90"/>
  <c r="AI114" i="90"/>
  <c r="AG115" i="90"/>
  <c r="AI123" i="90"/>
  <c r="AG127" i="90"/>
  <c r="AI135" i="90"/>
  <c r="AG138" i="90"/>
  <c r="AF139" i="90"/>
  <c r="AD140" i="90"/>
  <c r="AD147" i="90"/>
  <c r="AI151" i="90"/>
  <c r="AD153" i="90"/>
  <c r="AH155" i="90"/>
  <c r="AD163" i="90"/>
  <c r="AH167" i="90"/>
  <c r="AC169" i="90"/>
  <c r="F20" i="88" s="1"/>
  <c r="F18" i="51" s="1"/>
  <c r="AH171" i="90"/>
  <c r="AE179" i="90"/>
  <c r="AH183" i="90"/>
  <c r="AD18" i="90"/>
  <c r="AE22" i="90"/>
  <c r="AE30" i="90"/>
  <c r="AE34" i="90"/>
  <c r="AE38" i="90"/>
  <c r="AF58" i="90"/>
  <c r="AC60" i="90"/>
  <c r="AH61" i="90"/>
  <c r="AG62" i="90"/>
  <c r="AI65" i="90"/>
  <c r="AG81" i="90"/>
  <c r="AF82" i="90"/>
  <c r="AH85" i="90"/>
  <c r="AG86" i="90"/>
  <c r="AH88" i="90"/>
  <c r="AI89" i="90"/>
  <c r="AF101" i="90"/>
  <c r="AE102" i="90"/>
  <c r="AG105" i="90"/>
  <c r="AF106" i="90"/>
  <c r="AE109" i="90"/>
  <c r="AH127" i="90"/>
  <c r="AH138" i="90"/>
  <c r="AG139" i="90"/>
  <c r="AE140" i="90"/>
  <c r="AE147" i="90"/>
  <c r="AH153" i="90"/>
  <c r="AI155" i="90"/>
  <c r="AE163" i="90"/>
  <c r="AI167" i="90"/>
  <c r="AI171" i="90"/>
  <c r="AF179" i="90"/>
  <c r="AD54" i="90"/>
  <c r="AG58" i="90"/>
  <c r="AI61" i="90"/>
  <c r="AI64" i="90"/>
  <c r="AC74" i="90"/>
  <c r="AG82" i="90"/>
  <c r="AH84" i="90"/>
  <c r="AI85" i="90"/>
  <c r="AI88" i="90"/>
  <c r="AG106" i="90"/>
  <c r="AF109" i="90"/>
  <c r="AI127" i="90"/>
  <c r="AH139" i="90"/>
  <c r="AF147" i="90"/>
  <c r="AF163" i="90"/>
  <c r="AG179" i="90"/>
  <c r="AE204" i="90"/>
  <c r="AD10" i="90"/>
  <c r="AF13" i="90"/>
  <c r="AE14" i="90"/>
  <c r="AG22" i="90"/>
  <c r="AF25" i="90"/>
  <c r="AF29" i="90"/>
  <c r="AG30" i="90"/>
  <c r="AF33" i="90"/>
  <c r="AG34" i="90"/>
  <c r="AF37" i="90"/>
  <c r="AG38" i="90"/>
  <c r="AF41" i="90"/>
  <c r="AD46" i="90"/>
  <c r="AD50" i="90"/>
  <c r="AF53" i="90"/>
  <c r="AE54" i="90"/>
  <c r="AI57" i="90"/>
  <c r="AF73" i="90"/>
  <c r="AD74" i="90"/>
  <c r="AG77" i="90"/>
  <c r="AH80" i="90"/>
  <c r="AI81" i="90"/>
  <c r="AI84" i="90"/>
  <c r="AF97" i="90"/>
  <c r="AH101" i="90"/>
  <c r="AG102" i="90"/>
  <c r="AH104" i="90"/>
  <c r="AI105" i="90"/>
  <c r="AG109" i="90"/>
  <c r="AC113" i="90"/>
  <c r="AD120" i="90"/>
  <c r="AC121" i="90"/>
  <c r="AC122" i="90"/>
  <c r="AC133" i="90"/>
  <c r="AC134" i="90"/>
  <c r="AD135" i="90"/>
  <c r="AI139" i="90"/>
  <c r="AG147" i="90"/>
  <c r="AH179" i="90"/>
  <c r="AD187" i="90"/>
  <c r="AD188" i="90"/>
  <c r="AD191" i="90"/>
  <c r="AD192" i="90"/>
  <c r="AD195" i="90"/>
  <c r="AD196" i="90"/>
  <c r="AD199" i="90"/>
  <c r="AD200" i="90"/>
  <c r="AF203" i="90"/>
  <c r="AF204" i="90"/>
  <c r="AH16" i="90"/>
  <c r="AC24" i="90"/>
  <c r="AC28" i="90"/>
  <c r="AC52" i="90"/>
  <c r="AD66" i="90"/>
  <c r="AF69" i="90"/>
  <c r="AH76" i="90"/>
  <c r="AI77" i="90"/>
  <c r="AD90" i="90"/>
  <c r="AH97" i="90"/>
  <c r="AI118" i="90"/>
  <c r="AF120" i="90"/>
  <c r="AD127" i="90"/>
  <c r="AF135" i="90"/>
  <c r="AI147" i="90"/>
  <c r="AE155" i="90"/>
  <c r="AD156" i="90"/>
  <c r="AE167" i="90"/>
  <c r="AE171" i="90"/>
  <c r="AE183" i="90"/>
  <c r="AF187" i="90"/>
  <c r="AF188" i="90"/>
  <c r="AF191" i="90"/>
  <c r="AF192" i="90"/>
  <c r="AF195" i="90"/>
  <c r="AF196" i="90"/>
  <c r="AF199" i="90"/>
  <c r="AF200" i="90"/>
  <c r="AH203" i="90"/>
  <c r="AG10" i="90"/>
  <c r="AH12" i="90"/>
  <c r="AI13" i="90"/>
  <c r="AI16" i="90"/>
  <c r="AH24" i="90"/>
  <c r="AH28" i="90"/>
  <c r="AE66" i="90"/>
  <c r="AG69" i="90"/>
  <c r="AI76" i="90"/>
  <c r="AE90" i="90"/>
  <c r="AE127" i="90"/>
  <c r="AH7" i="90"/>
  <c r="AG7" i="90"/>
  <c r="D6" i="89" s="1"/>
  <c r="AF7" i="90"/>
  <c r="AE7" i="90"/>
  <c r="AI11" i="90"/>
  <c r="AH11" i="90"/>
  <c r="AG11" i="90"/>
  <c r="AF11" i="90"/>
  <c r="AE11" i="90"/>
  <c r="AD11" i="90"/>
  <c r="AI15" i="90"/>
  <c r="AH15" i="90"/>
  <c r="AG15" i="90"/>
  <c r="AF15" i="90"/>
  <c r="AE15" i="90"/>
  <c r="AD15" i="90"/>
  <c r="AI19" i="90"/>
  <c r="AH19" i="90"/>
  <c r="AG19" i="90"/>
  <c r="AF19" i="90"/>
  <c r="AE19" i="90"/>
  <c r="AD19" i="90"/>
  <c r="F22" i="88"/>
  <c r="F20" i="51" s="1"/>
  <c r="F21" i="88"/>
  <c r="F19" i="51" s="1"/>
  <c r="AC7" i="90"/>
  <c r="AC11" i="90"/>
  <c r="AC15" i="90"/>
  <c r="AC19" i="90"/>
  <c r="AI23" i="90"/>
  <c r="AH23" i="90"/>
  <c r="AG23" i="90"/>
  <c r="AF23" i="90"/>
  <c r="AE23" i="90"/>
  <c r="AD23" i="90"/>
  <c r="AI31" i="90"/>
  <c r="AH31" i="90"/>
  <c r="AG31" i="90"/>
  <c r="AF31" i="90"/>
  <c r="AE31" i="90"/>
  <c r="AD31" i="90"/>
  <c r="AC31" i="90"/>
  <c r="AI35" i="90"/>
  <c r="AH35" i="90"/>
  <c r="AC35" i="90"/>
  <c r="AG35" i="90"/>
  <c r="AF35" i="90"/>
  <c r="AE35" i="90"/>
  <c r="AD35" i="90"/>
  <c r="AI39" i="90"/>
  <c r="AH39" i="90"/>
  <c r="AC39" i="90"/>
  <c r="AG39" i="90"/>
  <c r="AF39" i="90"/>
  <c r="AE39" i="90"/>
  <c r="AD39" i="90"/>
  <c r="AI43" i="90"/>
  <c r="AH43" i="90"/>
  <c r="AG43" i="90"/>
  <c r="AC43" i="90"/>
  <c r="AF43" i="90"/>
  <c r="AE43" i="90"/>
  <c r="AD43" i="90"/>
  <c r="AI99" i="90"/>
  <c r="AH99" i="90"/>
  <c r="AG99" i="90"/>
  <c r="AF99" i="90"/>
  <c r="AE99" i="90"/>
  <c r="AD99" i="90"/>
  <c r="AC99" i="90"/>
  <c r="AI27" i="90"/>
  <c r="AH27" i="90"/>
  <c r="AC27" i="90"/>
  <c r="AG27" i="90"/>
  <c r="AF27" i="90"/>
  <c r="AE27" i="90"/>
  <c r="AD27" i="90"/>
  <c r="AI51" i="90"/>
  <c r="AH51" i="90"/>
  <c r="AG51" i="90"/>
  <c r="AF51" i="90"/>
  <c r="AE51" i="90"/>
  <c r="AD51" i="90"/>
  <c r="AC51" i="90"/>
  <c r="F22" i="89"/>
  <c r="F20" i="62" s="1"/>
  <c r="F21" i="89"/>
  <c r="F19" i="62" s="1"/>
  <c r="AG56" i="90"/>
  <c r="AF56" i="90"/>
  <c r="AE56" i="90"/>
  <c r="AD56" i="90"/>
  <c r="AI56" i="90"/>
  <c r="AC56" i="90"/>
  <c r="AH56" i="90"/>
  <c r="AH25" i="90"/>
  <c r="AH29" i="90"/>
  <c r="AH33" i="90"/>
  <c r="AH37" i="90"/>
  <c r="AH41" i="90"/>
  <c r="AF44" i="90"/>
  <c r="AD44" i="90"/>
  <c r="AC48" i="90"/>
  <c r="AI55" i="90"/>
  <c r="AH55" i="90"/>
  <c r="AG55" i="90"/>
  <c r="AF55" i="90"/>
  <c r="AG60" i="90"/>
  <c r="AF60" i="90"/>
  <c r="AE60" i="90"/>
  <c r="AD60" i="90"/>
  <c r="AI87" i="90"/>
  <c r="AH87" i="90"/>
  <c r="AG87" i="90"/>
  <c r="AF87" i="90"/>
  <c r="AE87" i="90"/>
  <c r="AD87" i="90"/>
  <c r="AI111" i="90"/>
  <c r="AH111" i="90"/>
  <c r="AG111" i="90"/>
  <c r="AF111" i="90"/>
  <c r="AE111" i="90"/>
  <c r="AD111" i="90"/>
  <c r="AF117" i="90"/>
  <c r="AI117" i="90"/>
  <c r="AH117" i="90"/>
  <c r="AG117" i="90"/>
  <c r="AE117" i="90"/>
  <c r="AD117" i="90"/>
  <c r="AC117" i="90"/>
  <c r="AG166" i="90"/>
  <c r="AE166" i="90"/>
  <c r="AD166" i="90"/>
  <c r="AC166" i="90"/>
  <c r="AI166" i="90"/>
  <c r="AH166" i="90"/>
  <c r="AF166" i="90"/>
  <c r="AI173" i="90"/>
  <c r="AG173" i="90"/>
  <c r="AF173" i="90"/>
  <c r="AE173" i="90"/>
  <c r="AH173" i="90"/>
  <c r="AD173" i="90"/>
  <c r="AC173" i="90"/>
  <c r="AC180" i="90"/>
  <c r="AI180" i="90"/>
  <c r="AH180" i="90"/>
  <c r="AG180" i="90"/>
  <c r="AF180" i="90"/>
  <c r="AE180" i="90"/>
  <c r="AD180" i="90"/>
  <c r="AI95" i="90"/>
  <c r="AH95" i="90"/>
  <c r="AG95" i="90"/>
  <c r="AF95" i="90"/>
  <c r="AE95" i="90"/>
  <c r="AD95" i="90"/>
  <c r="AC8" i="90"/>
  <c r="AC12" i="90"/>
  <c r="AC16" i="90"/>
  <c r="AC20" i="90"/>
  <c r="AI29" i="90"/>
  <c r="AI33" i="90"/>
  <c r="AI37" i="90"/>
  <c r="AI41" i="90"/>
  <c r="AI47" i="90"/>
  <c r="AH47" i="90"/>
  <c r="AG47" i="90"/>
  <c r="AF47" i="90"/>
  <c r="AH48" i="90"/>
  <c r="AC55" i="90"/>
  <c r="AI83" i="90"/>
  <c r="AH83" i="90"/>
  <c r="AG83" i="90"/>
  <c r="AF83" i="90"/>
  <c r="AE83" i="90"/>
  <c r="AD83" i="90"/>
  <c r="AD8" i="90"/>
  <c r="AD12" i="90"/>
  <c r="AD16" i="90"/>
  <c r="AD20" i="90"/>
  <c r="AD24" i="90"/>
  <c r="AD28" i="90"/>
  <c r="AI59" i="90"/>
  <c r="AH59" i="90"/>
  <c r="AG59" i="90"/>
  <c r="AF59" i="90"/>
  <c r="AI79" i="90"/>
  <c r="AH79" i="90"/>
  <c r="AG79" i="90"/>
  <c r="AF79" i="90"/>
  <c r="AE79" i="90"/>
  <c r="AD79" i="90"/>
  <c r="AG149" i="90"/>
  <c r="AF149" i="90"/>
  <c r="AE149" i="90"/>
  <c r="AI149" i="90"/>
  <c r="AH149" i="90"/>
  <c r="AD149" i="90"/>
  <c r="AC149" i="90"/>
  <c r="AI152" i="90"/>
  <c r="AH152" i="90"/>
  <c r="AG152" i="90"/>
  <c r="AF152" i="90"/>
  <c r="AE152" i="90"/>
  <c r="AD152" i="90"/>
  <c r="AI91" i="90"/>
  <c r="AH91" i="90"/>
  <c r="AG91" i="90"/>
  <c r="AF91" i="90"/>
  <c r="AE91" i="90"/>
  <c r="AD91" i="90"/>
  <c r="AE8" i="90"/>
  <c r="AC9" i="90"/>
  <c r="AI10" i="90"/>
  <c r="AE12" i="90"/>
  <c r="AC13" i="90"/>
  <c r="AI14" i="90"/>
  <c r="AE16" i="90"/>
  <c r="AC17" i="90"/>
  <c r="AI18" i="90"/>
  <c r="AE20" i="90"/>
  <c r="AC21" i="90"/>
  <c r="AE24" i="90"/>
  <c r="AC25" i="90"/>
  <c r="AE28" i="90"/>
  <c r="AC29" i="90"/>
  <c r="AE32" i="90"/>
  <c r="AC33" i="90"/>
  <c r="AE36" i="90"/>
  <c r="AC37" i="90"/>
  <c r="AE40" i="90"/>
  <c r="AC41" i="90"/>
  <c r="AG44" i="90"/>
  <c r="AD47" i="90"/>
  <c r="AE55" i="90"/>
  <c r="AC59" i="90"/>
  <c r="AI60" i="90"/>
  <c r="AI71" i="90"/>
  <c r="AH71" i="90"/>
  <c r="AG71" i="90"/>
  <c r="AF71" i="90"/>
  <c r="AE71" i="90"/>
  <c r="AD71" i="90"/>
  <c r="AI75" i="90"/>
  <c r="AH75" i="90"/>
  <c r="AG75" i="90"/>
  <c r="AF75" i="90"/>
  <c r="AE75" i="90"/>
  <c r="AD75" i="90"/>
  <c r="AC79" i="90"/>
  <c r="AC152" i="90"/>
  <c r="AG48" i="90"/>
  <c r="AF48" i="90"/>
  <c r="AE48" i="90"/>
  <c r="AD48" i="90"/>
  <c r="AF8" i="90"/>
  <c r="AD9" i="90"/>
  <c r="AF12" i="90"/>
  <c r="AD13" i="90"/>
  <c r="AF16" i="90"/>
  <c r="AD17" i="90"/>
  <c r="AF20" i="90"/>
  <c r="AD21" i="90"/>
  <c r="AF24" i="90"/>
  <c r="AD25" i="90"/>
  <c r="AF28" i="90"/>
  <c r="AD29" i="90"/>
  <c r="AF32" i="90"/>
  <c r="AD33" i="90"/>
  <c r="AF36" i="90"/>
  <c r="AD37" i="90"/>
  <c r="AF40" i="90"/>
  <c r="AD41" i="90"/>
  <c r="AH44" i="90"/>
  <c r="AE47" i="90"/>
  <c r="AG52" i="90"/>
  <c r="AF52" i="90"/>
  <c r="AE52" i="90"/>
  <c r="AD52" i="90"/>
  <c r="AD59" i="90"/>
  <c r="AI67" i="90"/>
  <c r="AH67" i="90"/>
  <c r="AG67" i="90"/>
  <c r="AF67" i="90"/>
  <c r="AE67" i="90"/>
  <c r="AD67" i="90"/>
  <c r="AC71" i="90"/>
  <c r="AC75" i="90"/>
  <c r="AI107" i="90"/>
  <c r="AH107" i="90"/>
  <c r="AG107" i="90"/>
  <c r="AF107" i="90"/>
  <c r="AE107" i="90"/>
  <c r="AD107" i="90"/>
  <c r="AH116" i="90"/>
  <c r="AI116" i="90"/>
  <c r="AG116" i="90"/>
  <c r="AF116" i="90"/>
  <c r="AE116" i="90"/>
  <c r="AD116" i="90"/>
  <c r="AC168" i="90"/>
  <c r="AI168" i="90"/>
  <c r="AH168" i="90"/>
  <c r="AG168" i="90"/>
  <c r="AF168" i="90"/>
  <c r="AE168" i="90"/>
  <c r="AI44" i="90"/>
  <c r="AE59" i="90"/>
  <c r="AI63" i="90"/>
  <c r="AH63" i="90"/>
  <c r="AG63" i="90"/>
  <c r="AF63" i="90"/>
  <c r="AE63" i="90"/>
  <c r="AD63" i="90"/>
  <c r="AI103" i="90"/>
  <c r="AH103" i="90"/>
  <c r="AG103" i="90"/>
  <c r="AF103" i="90"/>
  <c r="AE103" i="90"/>
  <c r="AD103" i="90"/>
  <c r="AE150" i="90"/>
  <c r="AD150" i="90"/>
  <c r="AC150" i="90"/>
  <c r="AI150" i="90"/>
  <c r="AH150" i="90"/>
  <c r="AG150" i="90"/>
  <c r="AI161" i="90"/>
  <c r="AG161" i="90"/>
  <c r="AF161" i="90"/>
  <c r="AE161" i="90"/>
  <c r="AH161" i="90"/>
  <c r="AD161" i="90"/>
  <c r="AD168" i="90"/>
  <c r="AI124" i="90"/>
  <c r="AH124" i="90"/>
  <c r="AG125" i="90"/>
  <c r="AF125" i="90"/>
  <c r="AE126" i="90"/>
  <c r="AD126" i="90"/>
  <c r="AE146" i="90"/>
  <c r="AD146" i="90"/>
  <c r="AC146" i="90"/>
  <c r="AI148" i="90"/>
  <c r="AH148" i="90"/>
  <c r="AG148" i="90"/>
  <c r="AC160" i="90"/>
  <c r="AI160" i="90"/>
  <c r="AH160" i="90"/>
  <c r="AG160" i="90"/>
  <c r="AG178" i="90"/>
  <c r="AE178" i="90"/>
  <c r="AD178" i="90"/>
  <c r="AC178" i="90"/>
  <c r="AC64" i="90"/>
  <c r="AC68" i="90"/>
  <c r="AC72" i="90"/>
  <c r="AC76" i="90"/>
  <c r="AC80" i="90"/>
  <c r="AC84" i="90"/>
  <c r="AC88" i="90"/>
  <c r="AC92" i="90"/>
  <c r="AC96" i="90"/>
  <c r="AC100" i="90"/>
  <c r="AC104" i="90"/>
  <c r="AC108" i="90"/>
  <c r="AC112" i="90"/>
  <c r="AC118" i="90"/>
  <c r="AC124" i="90"/>
  <c r="AC125" i="90"/>
  <c r="AC126" i="90"/>
  <c r="AI128" i="90"/>
  <c r="AH128" i="90"/>
  <c r="AG129" i="90"/>
  <c r="AF129" i="90"/>
  <c r="AE130" i="90"/>
  <c r="AD130" i="90"/>
  <c r="AG145" i="90"/>
  <c r="AF145" i="90"/>
  <c r="AE145" i="90"/>
  <c r="AF146" i="90"/>
  <c r="AC148" i="90"/>
  <c r="AG158" i="90"/>
  <c r="AE158" i="90"/>
  <c r="AD158" i="90"/>
  <c r="AC158" i="90"/>
  <c r="AD160" i="90"/>
  <c r="AI165" i="90"/>
  <c r="AG165" i="90"/>
  <c r="AF165" i="90"/>
  <c r="AE165" i="90"/>
  <c r="AC172" i="90"/>
  <c r="AI172" i="90"/>
  <c r="AH172" i="90"/>
  <c r="AG172" i="90"/>
  <c r="AF178" i="90"/>
  <c r="AH46" i="90"/>
  <c r="AH50" i="90"/>
  <c r="AH54" i="90"/>
  <c r="AH58" i="90"/>
  <c r="AH62" i="90"/>
  <c r="AD64" i="90"/>
  <c r="AH66" i="90"/>
  <c r="AD68" i="90"/>
  <c r="AH70" i="90"/>
  <c r="AD72" i="90"/>
  <c r="AH74" i="90"/>
  <c r="AD76" i="90"/>
  <c r="AH78" i="90"/>
  <c r="AD80" i="90"/>
  <c r="AH82" i="90"/>
  <c r="AD84" i="90"/>
  <c r="AH86" i="90"/>
  <c r="AD88" i="90"/>
  <c r="AH90" i="90"/>
  <c r="AD92" i="90"/>
  <c r="AH94" i="90"/>
  <c r="AD96" i="90"/>
  <c r="AH98" i="90"/>
  <c r="AD100" i="90"/>
  <c r="AH102" i="90"/>
  <c r="AD104" i="90"/>
  <c r="AH106" i="90"/>
  <c r="AD108" i="90"/>
  <c r="AD112" i="90"/>
  <c r="AE118" i="90"/>
  <c r="AI121" i="90"/>
  <c r="AH122" i="90"/>
  <c r="AD124" i="90"/>
  <c r="AD125" i="90"/>
  <c r="AF126" i="90"/>
  <c r="AC128" i="90"/>
  <c r="AC129" i="90"/>
  <c r="AC130" i="90"/>
  <c r="AI132" i="90"/>
  <c r="AH132" i="90"/>
  <c r="AG133" i="90"/>
  <c r="AF133" i="90"/>
  <c r="AE134" i="90"/>
  <c r="AD134" i="90"/>
  <c r="AE142" i="90"/>
  <c r="AD142" i="90"/>
  <c r="AC142" i="90"/>
  <c r="AI144" i="90"/>
  <c r="AH144" i="90"/>
  <c r="AG144" i="90"/>
  <c r="AC145" i="90"/>
  <c r="AG146" i="90"/>
  <c r="AD148" i="90"/>
  <c r="AF158" i="90"/>
  <c r="AE160" i="90"/>
  <c r="AC165" i="90"/>
  <c r="AG170" i="90"/>
  <c r="AE170" i="90"/>
  <c r="AD170" i="90"/>
  <c r="AC170" i="90"/>
  <c r="AD172" i="90"/>
  <c r="AI177" i="90"/>
  <c r="AG177" i="90"/>
  <c r="AF177" i="90"/>
  <c r="AE177" i="90"/>
  <c r="AH178" i="90"/>
  <c r="AG182" i="90"/>
  <c r="AF182" i="90"/>
  <c r="AE182" i="90"/>
  <c r="AD182" i="90"/>
  <c r="AC182" i="90"/>
  <c r="AG186" i="90"/>
  <c r="AF186" i="90"/>
  <c r="AE186" i="90"/>
  <c r="AD186" i="90"/>
  <c r="AC186" i="90"/>
  <c r="AG190" i="90"/>
  <c r="AF190" i="90"/>
  <c r="AE190" i="90"/>
  <c r="AD190" i="90"/>
  <c r="AC190" i="90"/>
  <c r="AG194" i="90"/>
  <c r="AF194" i="90"/>
  <c r="AE194" i="90"/>
  <c r="AD194" i="90"/>
  <c r="AC194" i="90"/>
  <c r="AG198" i="90"/>
  <c r="AF198" i="90"/>
  <c r="AE198" i="90"/>
  <c r="AD198" i="90"/>
  <c r="AC198" i="90"/>
  <c r="AG202" i="90"/>
  <c r="AF202" i="90"/>
  <c r="AE202" i="90"/>
  <c r="AD202" i="90"/>
  <c r="AC202" i="90"/>
  <c r="AI46" i="90"/>
  <c r="AI50" i="90"/>
  <c r="AC53" i="90"/>
  <c r="AI54" i="90"/>
  <c r="AC57" i="90"/>
  <c r="AI58" i="90"/>
  <c r="AI62" i="90"/>
  <c r="AE64" i="90"/>
  <c r="AC65" i="90"/>
  <c r="AI66" i="90"/>
  <c r="AE68" i="90"/>
  <c r="AC69" i="90"/>
  <c r="AI70" i="90"/>
  <c r="AE72" i="90"/>
  <c r="AC73" i="90"/>
  <c r="AE76" i="90"/>
  <c r="AC77" i="90"/>
  <c r="AI78" i="90"/>
  <c r="AE80" i="90"/>
  <c r="AC81" i="90"/>
  <c r="AI82" i="90"/>
  <c r="AE84" i="90"/>
  <c r="AC85" i="90"/>
  <c r="AI86" i="90"/>
  <c r="AE88" i="90"/>
  <c r="AC89" i="90"/>
  <c r="AI90" i="90"/>
  <c r="AE92" i="90"/>
  <c r="AI94" i="90"/>
  <c r="AE96" i="90"/>
  <c r="AC97" i="90"/>
  <c r="AI98" i="90"/>
  <c r="AE100" i="90"/>
  <c r="AC101" i="90"/>
  <c r="AI102" i="90"/>
  <c r="AE104" i="90"/>
  <c r="AC105" i="90"/>
  <c r="AI106" i="90"/>
  <c r="AE108" i="90"/>
  <c r="AE112" i="90"/>
  <c r="AF118" i="90"/>
  <c r="AI122" i="90"/>
  <c r="AE124" i="90"/>
  <c r="AE125" i="90"/>
  <c r="AG126" i="90"/>
  <c r="AD128" i="90"/>
  <c r="AD129" i="90"/>
  <c r="AF130" i="90"/>
  <c r="AI136" i="90"/>
  <c r="AH136" i="90"/>
  <c r="AG137" i="90"/>
  <c r="AF137" i="90"/>
  <c r="AE138" i="90"/>
  <c r="AD138" i="90"/>
  <c r="AG141" i="90"/>
  <c r="AF141" i="90"/>
  <c r="AE141" i="90"/>
  <c r="AD145" i="90"/>
  <c r="AH146" i="90"/>
  <c r="AE148" i="90"/>
  <c r="AI157" i="90"/>
  <c r="AG157" i="90"/>
  <c r="AF157" i="90"/>
  <c r="AE157" i="90"/>
  <c r="AH158" i="90"/>
  <c r="AF160" i="90"/>
  <c r="AC164" i="90"/>
  <c r="AI164" i="90"/>
  <c r="AH164" i="90"/>
  <c r="AG164" i="90"/>
  <c r="AD165" i="90"/>
  <c r="AE172" i="90"/>
  <c r="AC177" i="90"/>
  <c r="AI178" i="90"/>
  <c r="AD53" i="90"/>
  <c r="AD57" i="90"/>
  <c r="AD61" i="90"/>
  <c r="AF64" i="90"/>
  <c r="AD65" i="90"/>
  <c r="AF68" i="90"/>
  <c r="AD69" i="90"/>
  <c r="AF72" i="90"/>
  <c r="AD73" i="90"/>
  <c r="AF76" i="90"/>
  <c r="AD77" i="90"/>
  <c r="AF80" i="90"/>
  <c r="AD81" i="90"/>
  <c r="AF84" i="90"/>
  <c r="AD85" i="90"/>
  <c r="AF88" i="90"/>
  <c r="AD89" i="90"/>
  <c r="AF92" i="90"/>
  <c r="AD93" i="90"/>
  <c r="AF96" i="90"/>
  <c r="AD97" i="90"/>
  <c r="AF100" i="90"/>
  <c r="AD101" i="90"/>
  <c r="AF104" i="90"/>
  <c r="AD105" i="90"/>
  <c r="AF108" i="90"/>
  <c r="AF112" i="90"/>
  <c r="AC114" i="90"/>
  <c r="AG118" i="90"/>
  <c r="AC120" i="90"/>
  <c r="AF124" i="90"/>
  <c r="AH125" i="90"/>
  <c r="AH126" i="90"/>
  <c r="AE128" i="90"/>
  <c r="AE129" i="90"/>
  <c r="AG130" i="90"/>
  <c r="AC136" i="90"/>
  <c r="AC137" i="90"/>
  <c r="AC138" i="90"/>
  <c r="AI140" i="90"/>
  <c r="AH140" i="90"/>
  <c r="AG140" i="90"/>
  <c r="AC141" i="90"/>
  <c r="AH145" i="90"/>
  <c r="AI146" i="90"/>
  <c r="AF148" i="90"/>
  <c r="AE154" i="90"/>
  <c r="AD154" i="90"/>
  <c r="AC154" i="90"/>
  <c r="AI156" i="90"/>
  <c r="AH156" i="90"/>
  <c r="AG156" i="90"/>
  <c r="AC157" i="90"/>
  <c r="AI158" i="90"/>
  <c r="AG162" i="90"/>
  <c r="AE162" i="90"/>
  <c r="AD162" i="90"/>
  <c r="AC162" i="90"/>
  <c r="AD164" i="90"/>
  <c r="AH165" i="90"/>
  <c r="AI169" i="90"/>
  <c r="AG169" i="90"/>
  <c r="AF169" i="90"/>
  <c r="AE169" i="90"/>
  <c r="AF172" i="90"/>
  <c r="AC176" i="90"/>
  <c r="AI176" i="90"/>
  <c r="AH176" i="90"/>
  <c r="AG176" i="90"/>
  <c r="AD177" i="90"/>
  <c r="AI182" i="90"/>
  <c r="AI186" i="90"/>
  <c r="AH118" i="90"/>
  <c r="AG124" i="90"/>
  <c r="AI125" i="90"/>
  <c r="AI126" i="90"/>
  <c r="AF128" i="90"/>
  <c r="AH129" i="90"/>
  <c r="AH130" i="90"/>
  <c r="AD136" i="90"/>
  <c r="AD137" i="90"/>
  <c r="AF138" i="90"/>
  <c r="AD141" i="90"/>
  <c r="AI145" i="90"/>
  <c r="AG153" i="90"/>
  <c r="AF153" i="90"/>
  <c r="AE153" i="90"/>
  <c r="AF154" i="90"/>
  <c r="AC156" i="90"/>
  <c r="AD157" i="90"/>
  <c r="AG174" i="90"/>
  <c r="AE174" i="90"/>
  <c r="AD174" i="90"/>
  <c r="AC174" i="90"/>
  <c r="AI181" i="90"/>
  <c r="AH181" i="90"/>
  <c r="AG181" i="90"/>
  <c r="AF181" i="90"/>
  <c r="AE181" i="90"/>
  <c r="AI185" i="90"/>
  <c r="AH185" i="90"/>
  <c r="AG185" i="90"/>
  <c r="AF185" i="90"/>
  <c r="AE185" i="90"/>
  <c r="AI189" i="90"/>
  <c r="AH189" i="90"/>
  <c r="AG189" i="90"/>
  <c r="AF189" i="90"/>
  <c r="AE189" i="90"/>
  <c r="AI193" i="90"/>
  <c r="AH193" i="90"/>
  <c r="AG193" i="90"/>
  <c r="AF193" i="90"/>
  <c r="AE193" i="90"/>
  <c r="AI197" i="90"/>
  <c r="AH197" i="90"/>
  <c r="AG197" i="90"/>
  <c r="AF197" i="90"/>
  <c r="AE197" i="90"/>
  <c r="AI201" i="90"/>
  <c r="AH201" i="90"/>
  <c r="AG201" i="90"/>
  <c r="AF201" i="90"/>
  <c r="AE201" i="90"/>
  <c r="AI183" i="90"/>
  <c r="AG184" i="90"/>
  <c r="AI187" i="90"/>
  <c r="AG188" i="90"/>
  <c r="AI191" i="90"/>
  <c r="AG192" i="90"/>
  <c r="AI195" i="90"/>
  <c r="AG196" i="90"/>
  <c r="AI199" i="90"/>
  <c r="AG200" i="90"/>
  <c r="AI203" i="90"/>
  <c r="AG204" i="90"/>
  <c r="AH184" i="90"/>
  <c r="AH188" i="90"/>
  <c r="AH192" i="90"/>
  <c r="AH196" i="90"/>
  <c r="AH200" i="90"/>
  <c r="AH204" i="90"/>
  <c r="AI184" i="90"/>
  <c r="AI188" i="90"/>
  <c r="AI192" i="90"/>
  <c r="AI196" i="90"/>
  <c r="AI200" i="90"/>
  <c r="AC203" i="90"/>
  <c r="AI204" i="90"/>
  <c r="AD203" i="90"/>
  <c r="F39" i="45" l="1"/>
  <c r="G39" i="45"/>
  <c r="C6" i="89"/>
  <c r="C6" i="88"/>
  <c r="F20" i="89"/>
  <c r="F18" i="62" s="1"/>
  <c r="C18" i="94" s="1"/>
  <c r="H52" i="52"/>
  <c r="H58" i="52"/>
  <c r="H60" i="52"/>
  <c r="I58" i="52"/>
  <c r="I26" i="65"/>
  <c r="H48" i="52"/>
  <c r="H53" i="52"/>
  <c r="I55" i="52"/>
  <c r="I60" i="52"/>
  <c r="I57" i="52"/>
  <c r="I59" i="52"/>
  <c r="H46" i="52"/>
  <c r="H56" i="52"/>
  <c r="I51" i="52"/>
  <c r="H59" i="52"/>
  <c r="H55" i="52"/>
  <c r="I54" i="52"/>
  <c r="H49" i="52"/>
  <c r="I47" i="52"/>
  <c r="I61" i="52"/>
  <c r="H61" i="52"/>
  <c r="I62" i="52"/>
  <c r="I52" i="52"/>
  <c r="H62" i="52"/>
  <c r="I48" i="52"/>
  <c r="I53" i="52"/>
  <c r="H54" i="52"/>
  <c r="H57" i="52"/>
  <c r="H50" i="52"/>
  <c r="H51" i="52"/>
  <c r="I46" i="52"/>
  <c r="I56" i="52"/>
  <c r="H47" i="52"/>
  <c r="F38" i="53"/>
  <c r="H20" i="39"/>
  <c r="H7" i="89"/>
  <c r="H5" i="62" s="1"/>
  <c r="D4" i="62"/>
  <c r="H6" i="88"/>
  <c r="H4" i="51" s="1"/>
  <c r="D11" i="88"/>
  <c r="D9" i="51" s="1"/>
  <c r="G22" i="88"/>
  <c r="G20" i="51" s="1"/>
  <c r="G9" i="88"/>
  <c r="G7" i="51" s="1"/>
  <c r="D7" i="89"/>
  <c r="D5" i="62" s="1"/>
  <c r="F9" i="88"/>
  <c r="F7" i="51" s="1"/>
  <c r="H22" i="88"/>
  <c r="H20" i="51" s="1"/>
  <c r="I14" i="89"/>
  <c r="I12" i="62" s="1"/>
  <c r="D9" i="88"/>
  <c r="D7" i="51" s="1"/>
  <c r="G16" i="89"/>
  <c r="G14" i="62" s="1"/>
  <c r="I12" i="89"/>
  <c r="I10" i="62" s="1"/>
  <c r="C21" i="89"/>
  <c r="C19" i="62" s="1"/>
  <c r="D6" i="88"/>
  <c r="D4" i="51" s="1"/>
  <c r="G20" i="89"/>
  <c r="G18" i="62" s="1"/>
  <c r="C13" i="89"/>
  <c r="C11" i="62" s="1"/>
  <c r="G7" i="89"/>
  <c r="G5" i="62" s="1"/>
  <c r="C14" i="88"/>
  <c r="C12" i="51" s="1"/>
  <c r="I16" i="88"/>
  <c r="I14" i="51" s="1"/>
  <c r="H13" i="89"/>
  <c r="H11" i="62" s="1"/>
  <c r="C8" i="89"/>
  <c r="C6" i="62" s="1"/>
  <c r="D14" i="88"/>
  <c r="D12" i="51" s="1"/>
  <c r="D20" i="89"/>
  <c r="D18" i="62" s="1"/>
  <c r="F17" i="89"/>
  <c r="F15" i="62" s="1"/>
  <c r="G14" i="88"/>
  <c r="G12" i="51" s="1"/>
  <c r="I19" i="89"/>
  <c r="I17" i="62" s="1"/>
  <c r="H16" i="89"/>
  <c r="H14" i="62" s="1"/>
  <c r="C7" i="88"/>
  <c r="C5" i="51" s="1"/>
  <c r="C11" i="89"/>
  <c r="C9" i="62" s="1"/>
  <c r="I10" i="89"/>
  <c r="I8" i="62" s="1"/>
  <c r="I9" i="89"/>
  <c r="I7" i="62" s="1"/>
  <c r="D10" i="88"/>
  <c r="D8" i="51" s="1"/>
  <c r="F19" i="89"/>
  <c r="F17" i="62" s="1"/>
  <c r="F17" i="88"/>
  <c r="F15" i="51" s="1"/>
  <c r="C14" i="89"/>
  <c r="C12" i="62" s="1"/>
  <c r="C11" i="88"/>
  <c r="F14" i="89"/>
  <c r="F12" i="62" s="1"/>
  <c r="F13" i="89"/>
  <c r="F11" i="62" s="1"/>
  <c r="F12" i="89"/>
  <c r="F10" i="62" s="1"/>
  <c r="G18" i="88"/>
  <c r="G16" i="51" s="1"/>
  <c r="F11" i="89"/>
  <c r="F9" i="62" s="1"/>
  <c r="H9" i="89"/>
  <c r="H7" i="62" s="1"/>
  <c r="G8" i="89"/>
  <c r="G6" i="62" s="1"/>
  <c r="I7" i="89"/>
  <c r="I5" i="62" s="1"/>
  <c r="C15" i="88"/>
  <c r="C13" i="51" s="1"/>
  <c r="G13" i="88"/>
  <c r="G11" i="51" s="1"/>
  <c r="H9" i="88"/>
  <c r="H7" i="51" s="1"/>
  <c r="H16" i="88"/>
  <c r="H14" i="51" s="1"/>
  <c r="D7" i="88"/>
  <c r="D5" i="51" s="1"/>
  <c r="G21" i="88"/>
  <c r="G19" i="51" s="1"/>
  <c r="D19" i="88"/>
  <c r="D17" i="51" s="1"/>
  <c r="D18" i="88"/>
  <c r="D16" i="51" s="1"/>
  <c r="D18" i="89"/>
  <c r="D16" i="62" s="1"/>
  <c r="I11" i="88"/>
  <c r="I9" i="51" s="1"/>
  <c r="D9" i="89"/>
  <c r="D7" i="62" s="1"/>
  <c r="I8" i="89"/>
  <c r="I6" i="62" s="1"/>
  <c r="I15" i="89"/>
  <c r="I13" i="62" s="1"/>
  <c r="G12" i="89"/>
  <c r="G10" i="62" s="1"/>
  <c r="H22" i="89"/>
  <c r="H20" i="62" s="1"/>
  <c r="I20" i="88"/>
  <c r="I18" i="51" s="1"/>
  <c r="H20" i="89"/>
  <c r="H18" i="62" s="1"/>
  <c r="C22" i="88"/>
  <c r="C20" i="51" s="1"/>
  <c r="H11" i="89"/>
  <c r="H9" i="62" s="1"/>
  <c r="F16" i="88"/>
  <c r="F14" i="51" s="1"/>
  <c r="F13" i="88"/>
  <c r="F11" i="51" s="1"/>
  <c r="D19" i="89"/>
  <c r="D17" i="62" s="1"/>
  <c r="G9" i="89"/>
  <c r="G7" i="62" s="1"/>
  <c r="G6" i="88"/>
  <c r="G4" i="51" s="1"/>
  <c r="I12" i="88"/>
  <c r="I10" i="51" s="1"/>
  <c r="F8" i="89"/>
  <c r="F6" i="62" s="1"/>
  <c r="G15" i="89"/>
  <c r="G13" i="62" s="1"/>
  <c r="F10" i="88"/>
  <c r="F8" i="51" s="1"/>
  <c r="I8" i="88"/>
  <c r="I6" i="51" s="1"/>
  <c r="G21" i="89"/>
  <c r="G19" i="62" s="1"/>
  <c r="C19" i="88"/>
  <c r="C17" i="51" s="1"/>
  <c r="I18" i="89"/>
  <c r="I16" i="62" s="1"/>
  <c r="C17" i="89"/>
  <c r="C15" i="62" s="1"/>
  <c r="F15" i="88"/>
  <c r="F13" i="51" s="1"/>
  <c r="C10" i="89"/>
  <c r="C8" i="62" s="1"/>
  <c r="G12" i="88"/>
  <c r="G10" i="51" s="1"/>
  <c r="I15" i="88"/>
  <c r="I13" i="51" s="1"/>
  <c r="D15" i="89"/>
  <c r="D13" i="62" s="1"/>
  <c r="H8" i="89"/>
  <c r="H6" i="62" s="1"/>
  <c r="C10" i="88"/>
  <c r="G8" i="88"/>
  <c r="G6" i="51" s="1"/>
  <c r="F10" i="89"/>
  <c r="F8" i="62" s="1"/>
  <c r="C20" i="89"/>
  <c r="C18" i="62" s="1"/>
  <c r="F18" i="89"/>
  <c r="F16" i="62" s="1"/>
  <c r="I17" i="89"/>
  <c r="I15" i="62" s="1"/>
  <c r="H14" i="88"/>
  <c r="H12" i="51" s="1"/>
  <c r="H13" i="88"/>
  <c r="H11" i="51" s="1"/>
  <c r="H12" i="88"/>
  <c r="H10" i="51" s="1"/>
  <c r="I10" i="88"/>
  <c r="I8" i="51" s="1"/>
  <c r="H15" i="88"/>
  <c r="H13" i="51" s="1"/>
  <c r="D8" i="89"/>
  <c r="D6" i="62" s="1"/>
  <c r="F6" i="88"/>
  <c r="F4" i="51" s="1"/>
  <c r="D22" i="89"/>
  <c r="D20" i="62" s="1"/>
  <c r="H21" i="88"/>
  <c r="H19" i="51" s="1"/>
  <c r="C18" i="89"/>
  <c r="H17" i="89"/>
  <c r="H15" i="62" s="1"/>
  <c r="F14" i="88"/>
  <c r="F12" i="51" s="1"/>
  <c r="H20" i="88"/>
  <c r="H18" i="51" s="1"/>
  <c r="D17" i="89"/>
  <c r="D15" i="62" s="1"/>
  <c r="G17" i="88"/>
  <c r="G15" i="51" s="1"/>
  <c r="C16" i="88"/>
  <c r="C14" i="51" s="1"/>
  <c r="H10" i="88"/>
  <c r="H8" i="51" s="1"/>
  <c r="D14" i="89"/>
  <c r="D12" i="62" s="1"/>
  <c r="C22" i="89"/>
  <c r="C20" i="62" s="1"/>
  <c r="G10" i="88"/>
  <c r="G8" i="51" s="1"/>
  <c r="F12" i="88"/>
  <c r="F10" i="51" s="1"/>
  <c r="F16" i="89"/>
  <c r="H19" i="88"/>
  <c r="H17" i="51" s="1"/>
  <c r="D16" i="89"/>
  <c r="D14" i="62" s="1"/>
  <c r="H18" i="89"/>
  <c r="H16" i="62" s="1"/>
  <c r="D17" i="88"/>
  <c r="D15" i="51" s="1"/>
  <c r="C16" i="89"/>
  <c r="F15" i="89"/>
  <c r="F13" i="62" s="1"/>
  <c r="G22" i="89"/>
  <c r="H19" i="89"/>
  <c r="H17" i="62" s="1"/>
  <c r="F9" i="89"/>
  <c r="G13" i="89"/>
  <c r="H21" i="89"/>
  <c r="H19" i="62" s="1"/>
  <c r="G16" i="88"/>
  <c r="G14" i="51" s="1"/>
  <c r="D22" i="88"/>
  <c r="D15" i="88"/>
  <c r="I17" i="88"/>
  <c r="I15" i="51" s="1"/>
  <c r="D16" i="88"/>
  <c r="I6" i="89"/>
  <c r="I4" i="62" s="1"/>
  <c r="I6" i="88"/>
  <c r="I11" i="89"/>
  <c r="I9" i="62" s="1"/>
  <c r="H7" i="88"/>
  <c r="H5" i="51" s="1"/>
  <c r="G19" i="88"/>
  <c r="G17" i="51" s="1"/>
  <c r="C9" i="88"/>
  <c r="F8" i="88"/>
  <c r="F7" i="89"/>
  <c r="C17" i="88"/>
  <c r="I20" i="89"/>
  <c r="D10" i="89"/>
  <c r="I21" i="89"/>
  <c r="C15" i="89"/>
  <c r="D11" i="89"/>
  <c r="I22" i="89"/>
  <c r="I20" i="62" s="1"/>
  <c r="I7" i="88"/>
  <c r="I5" i="51" s="1"/>
  <c r="C18" i="88"/>
  <c r="H8" i="88"/>
  <c r="H6" i="51" s="1"/>
  <c r="H17" i="88"/>
  <c r="C8" i="88"/>
  <c r="F7" i="88"/>
  <c r="F5" i="51" s="1"/>
  <c r="H18" i="88"/>
  <c r="H16" i="51" s="1"/>
  <c r="G6" i="89"/>
  <c r="G4" i="62" s="1"/>
  <c r="E20" i="89"/>
  <c r="E18" i="62" s="1"/>
  <c r="D36" i="45" s="1"/>
  <c r="G11" i="88"/>
  <c r="G9" i="51" s="1"/>
  <c r="D21" i="88"/>
  <c r="D19" i="51" s="1"/>
  <c r="H14" i="89"/>
  <c r="H12" i="62" s="1"/>
  <c r="I13" i="89"/>
  <c r="I11" i="62" s="1"/>
  <c r="D21" i="89"/>
  <c r="H12" i="89"/>
  <c r="I16" i="89"/>
  <c r="I14" i="62" s="1"/>
  <c r="I14" i="88"/>
  <c r="I12" i="51" s="1"/>
  <c r="I19" i="88"/>
  <c r="I17" i="51" s="1"/>
  <c r="F18" i="88"/>
  <c r="F16" i="51" s="1"/>
  <c r="I9" i="88"/>
  <c r="C20" i="88"/>
  <c r="C18" i="51" s="1"/>
  <c r="D8" i="88"/>
  <c r="D6" i="51" s="1"/>
  <c r="F19" i="88"/>
  <c r="C12" i="89"/>
  <c r="C10" i="62" s="1"/>
  <c r="C21" i="88"/>
  <c r="I18" i="88"/>
  <c r="I16" i="51" s="1"/>
  <c r="D12" i="89"/>
  <c r="D10" i="62" s="1"/>
  <c r="G7" i="88"/>
  <c r="G5" i="51" s="1"/>
  <c r="C7" i="89"/>
  <c r="G17" i="89"/>
  <c r="G15" i="62" s="1"/>
  <c r="G14" i="89"/>
  <c r="G20" i="88"/>
  <c r="I21" i="88"/>
  <c r="D20" i="88"/>
  <c r="D18" i="51" s="1"/>
  <c r="H6" i="89"/>
  <c r="H4" i="62" s="1"/>
  <c r="H10" i="89"/>
  <c r="H8" i="62" s="1"/>
  <c r="H11" i="88"/>
  <c r="H9" i="51" s="1"/>
  <c r="G18" i="89"/>
  <c r="D13" i="88"/>
  <c r="D11" i="51" s="1"/>
  <c r="D13" i="89"/>
  <c r="C19" i="89"/>
  <c r="F6" i="89"/>
  <c r="F4" i="62" s="1"/>
  <c r="C12" i="88"/>
  <c r="C10" i="51" s="1"/>
  <c r="F11" i="88"/>
  <c r="G11" i="89"/>
  <c r="C13" i="88"/>
  <c r="G15" i="88"/>
  <c r="C9" i="89"/>
  <c r="G19" i="89"/>
  <c r="H15" i="89"/>
  <c r="H13" i="62" s="1"/>
  <c r="G10" i="89"/>
  <c r="G8" i="62" s="1"/>
  <c r="I22" i="88"/>
  <c r="I13" i="88"/>
  <c r="D12" i="88"/>
  <c r="D10" i="51" s="1"/>
  <c r="C17" i="44" l="1"/>
  <c r="D8" i="94"/>
  <c r="D7" i="44"/>
  <c r="E19" i="44"/>
  <c r="E20" i="94"/>
  <c r="D14" i="94"/>
  <c r="D13" i="44"/>
  <c r="F8" i="94"/>
  <c r="J8" i="94" s="1"/>
  <c r="F7" i="44"/>
  <c r="C7" i="44"/>
  <c r="C8" i="94"/>
  <c r="F6" i="94"/>
  <c r="J6" i="94" s="1"/>
  <c r="F5" i="44"/>
  <c r="C6" i="94"/>
  <c r="C5" i="44"/>
  <c r="F10" i="94"/>
  <c r="C10" i="94"/>
  <c r="F9" i="44"/>
  <c r="C9" i="44"/>
  <c r="C11" i="94"/>
  <c r="C10" i="44"/>
  <c r="C11" i="44"/>
  <c r="C12" i="94"/>
  <c r="D17" i="44"/>
  <c r="D18" i="94"/>
  <c r="E18" i="89"/>
  <c r="E16" i="62" s="1"/>
  <c r="D34" i="45" s="1"/>
  <c r="D6" i="44"/>
  <c r="D7" i="94"/>
  <c r="D19" i="94"/>
  <c r="D18" i="44"/>
  <c r="D10" i="94"/>
  <c r="D9" i="44"/>
  <c r="D6" i="94"/>
  <c r="D5" i="44"/>
  <c r="E14" i="89"/>
  <c r="E12" i="62" s="1"/>
  <c r="D30" i="45" s="1"/>
  <c r="D14" i="44"/>
  <c r="D15" i="94"/>
  <c r="C13" i="94"/>
  <c r="F12" i="44"/>
  <c r="C12" i="44"/>
  <c r="F13" i="94"/>
  <c r="C16" i="94"/>
  <c r="C15" i="44"/>
  <c r="C8" i="44"/>
  <c r="C9" i="94"/>
  <c r="C17" i="94"/>
  <c r="C16" i="44"/>
  <c r="E14" i="88"/>
  <c r="E12" i="51" s="1"/>
  <c r="D12" i="44"/>
  <c r="D13" i="94"/>
  <c r="C15" i="94"/>
  <c r="F14" i="44"/>
  <c r="C14" i="44"/>
  <c r="F15" i="94"/>
  <c r="D4" i="44"/>
  <c r="D5" i="94"/>
  <c r="J12" i="88"/>
  <c r="J10" i="51" s="1"/>
  <c r="J16" i="88"/>
  <c r="J14" i="51" s="1"/>
  <c r="J10" i="88"/>
  <c r="J8" i="51" s="1"/>
  <c r="E8" i="89"/>
  <c r="E6" i="62" s="1"/>
  <c r="D24" i="45" s="1"/>
  <c r="C16" i="62"/>
  <c r="E6" i="89"/>
  <c r="E4" i="62" s="1"/>
  <c r="D22" i="45" s="1"/>
  <c r="E17" i="89"/>
  <c r="E15" i="62" s="1"/>
  <c r="D33" i="45" s="1"/>
  <c r="J21" i="88"/>
  <c r="J19" i="51" s="1"/>
  <c r="I19" i="51"/>
  <c r="E21" i="88"/>
  <c r="E19" i="51" s="1"/>
  <c r="C19" i="51"/>
  <c r="J6" i="88"/>
  <c r="I4" i="51"/>
  <c r="J14" i="88"/>
  <c r="J17" i="88"/>
  <c r="J15" i="51" s="1"/>
  <c r="H15" i="51"/>
  <c r="J15" i="88"/>
  <c r="J13" i="51" s="1"/>
  <c r="G13" i="51"/>
  <c r="J20" i="88"/>
  <c r="J18" i="51" s="1"/>
  <c r="G18" i="51"/>
  <c r="E22" i="89"/>
  <c r="E20" i="62" s="1"/>
  <c r="D38" i="45" s="1"/>
  <c r="E18" i="88"/>
  <c r="E16" i="51" s="1"/>
  <c r="C16" i="51"/>
  <c r="E17" i="88"/>
  <c r="E15" i="51" s="1"/>
  <c r="C15" i="51"/>
  <c r="E6" i="88"/>
  <c r="E4" i="51" s="1"/>
  <c r="C4" i="51"/>
  <c r="E13" i="88"/>
  <c r="E11" i="51" s="1"/>
  <c r="C11" i="51"/>
  <c r="E16" i="88"/>
  <c r="D14" i="51"/>
  <c r="E11" i="88"/>
  <c r="C9" i="51"/>
  <c r="J13" i="88"/>
  <c r="J11" i="51" s="1"/>
  <c r="I11" i="51"/>
  <c r="J19" i="88"/>
  <c r="J17" i="51" s="1"/>
  <c r="F17" i="51"/>
  <c r="J8" i="88"/>
  <c r="J6" i="51" s="1"/>
  <c r="F6" i="51"/>
  <c r="E7" i="88"/>
  <c r="E5" i="51" s="1"/>
  <c r="J22" i="88"/>
  <c r="J20" i="51" s="1"/>
  <c r="I20" i="51"/>
  <c r="E9" i="88"/>
  <c r="E7" i="51" s="1"/>
  <c r="C7" i="51"/>
  <c r="E15" i="88"/>
  <c r="E13" i="51" s="1"/>
  <c r="D13" i="51"/>
  <c r="J8" i="89"/>
  <c r="J6" i="62" s="1"/>
  <c r="C24" i="45" s="1"/>
  <c r="J11" i="88"/>
  <c r="J9" i="51" s="1"/>
  <c r="F9" i="51"/>
  <c r="E22" i="88"/>
  <c r="E20" i="51" s="1"/>
  <c r="D20" i="51"/>
  <c r="E19" i="88"/>
  <c r="J9" i="88"/>
  <c r="J7" i="51" s="1"/>
  <c r="I7" i="51"/>
  <c r="E8" i="88"/>
  <c r="C6" i="51"/>
  <c r="E10" i="88"/>
  <c r="C8" i="51"/>
  <c r="J16" i="89"/>
  <c r="J14" i="62" s="1"/>
  <c r="C32" i="45" s="1"/>
  <c r="F14" i="62"/>
  <c r="E21" i="89"/>
  <c r="D19" i="62"/>
  <c r="E15" i="89"/>
  <c r="E13" i="62" s="1"/>
  <c r="D31" i="45" s="1"/>
  <c r="C13" i="62"/>
  <c r="E16" i="89"/>
  <c r="E14" i="62" s="1"/>
  <c r="D32" i="45" s="1"/>
  <c r="C14" i="62"/>
  <c r="J19" i="89"/>
  <c r="J17" i="62" s="1"/>
  <c r="C35" i="45" s="1"/>
  <c r="G17" i="62"/>
  <c r="F17" i="94" s="1"/>
  <c r="J21" i="89"/>
  <c r="J19" i="62" s="1"/>
  <c r="C37" i="45" s="1"/>
  <c r="I19" i="62"/>
  <c r="J10" i="89"/>
  <c r="J8" i="62" s="1"/>
  <c r="C26" i="45" s="1"/>
  <c r="J18" i="89"/>
  <c r="G16" i="62"/>
  <c r="E9" i="89"/>
  <c r="C7" i="62"/>
  <c r="J6" i="89"/>
  <c r="J4" i="62" s="1"/>
  <c r="C22" i="45" s="1"/>
  <c r="E10" i="89"/>
  <c r="D8" i="62"/>
  <c r="J12" i="89"/>
  <c r="J10" i="62" s="1"/>
  <c r="C28" i="45" s="1"/>
  <c r="H10" i="62"/>
  <c r="E19" i="89"/>
  <c r="E17" i="62" s="1"/>
  <c r="D35" i="45" s="1"/>
  <c r="C17" i="62"/>
  <c r="J20" i="89"/>
  <c r="J18" i="62" s="1"/>
  <c r="C36" i="45" s="1"/>
  <c r="I18" i="62"/>
  <c r="J13" i="89"/>
  <c r="J11" i="62" s="1"/>
  <c r="C29" i="45" s="1"/>
  <c r="G11" i="62"/>
  <c r="F11" i="94" s="1"/>
  <c r="E7" i="89"/>
  <c r="C5" i="62"/>
  <c r="E13" i="89"/>
  <c r="E11" i="62" s="1"/>
  <c r="D29" i="45" s="1"/>
  <c r="D11" i="62"/>
  <c r="J9" i="89"/>
  <c r="J7" i="62" s="1"/>
  <c r="C25" i="45" s="1"/>
  <c r="F7" i="62"/>
  <c r="J17" i="89"/>
  <c r="J15" i="62" s="1"/>
  <c r="C33" i="45" s="1"/>
  <c r="J22" i="89"/>
  <c r="J20" i="62" s="1"/>
  <c r="C38" i="45" s="1"/>
  <c r="G20" i="62"/>
  <c r="E11" i="89"/>
  <c r="E9" i="62" s="1"/>
  <c r="D27" i="45" s="1"/>
  <c r="D9" i="62"/>
  <c r="J11" i="89"/>
  <c r="J9" i="62" s="1"/>
  <c r="C27" i="45" s="1"/>
  <c r="G9" i="62"/>
  <c r="F9" i="94" s="1"/>
  <c r="J9" i="94" s="1"/>
  <c r="J14" i="89"/>
  <c r="J12" i="62" s="1"/>
  <c r="C30" i="45" s="1"/>
  <c r="G12" i="62"/>
  <c r="F11" i="44" s="1"/>
  <c r="C4" i="62"/>
  <c r="J7" i="89"/>
  <c r="J5" i="62" s="1"/>
  <c r="C23" i="45" s="1"/>
  <c r="F5" i="62"/>
  <c r="E12" i="89"/>
  <c r="J15" i="89"/>
  <c r="J18" i="88"/>
  <c r="E12" i="88"/>
  <c r="E20" i="88"/>
  <c r="J7" i="88"/>
  <c r="J5" i="51" s="1"/>
  <c r="K10" i="94" l="1"/>
  <c r="L10" i="94"/>
  <c r="J10" i="94"/>
  <c r="K11" i="94"/>
  <c r="L11" i="94"/>
  <c r="J11" i="94"/>
  <c r="K15" i="94"/>
  <c r="L15" i="94"/>
  <c r="J15" i="94"/>
  <c r="K13" i="94"/>
  <c r="L13" i="94"/>
  <c r="J13" i="94"/>
  <c r="J17" i="94"/>
  <c r="L17" i="94"/>
  <c r="K17" i="94"/>
  <c r="K13" i="88"/>
  <c r="L13" i="88" s="1"/>
  <c r="L11" i="51" s="1"/>
  <c r="D29" i="48" s="1"/>
  <c r="K17" i="88"/>
  <c r="K15" i="51" s="1"/>
  <c r="C33" i="48" s="1"/>
  <c r="D16" i="94"/>
  <c r="D15" i="44"/>
  <c r="F16" i="94"/>
  <c r="F10" i="44"/>
  <c r="F4" i="44"/>
  <c r="H4" i="44" s="1"/>
  <c r="F5" i="94"/>
  <c r="J5" i="94" s="1"/>
  <c r="C5" i="94"/>
  <c r="C4" i="44"/>
  <c r="D19" i="44"/>
  <c r="D20" i="94"/>
  <c r="F20" i="94"/>
  <c r="F19" i="44"/>
  <c r="H19" i="44" s="1"/>
  <c r="D11" i="94"/>
  <c r="D10" i="44"/>
  <c r="E18" i="44"/>
  <c r="E19" i="94"/>
  <c r="F19" i="94"/>
  <c r="D11" i="44"/>
  <c r="D12" i="94"/>
  <c r="F18" i="44"/>
  <c r="F8" i="44"/>
  <c r="C6" i="44"/>
  <c r="F7" i="94"/>
  <c r="J7" i="94" s="1"/>
  <c r="C7" i="94"/>
  <c r="F6" i="44"/>
  <c r="E17" i="44"/>
  <c r="E18" i="94"/>
  <c r="D16" i="44"/>
  <c r="D17" i="94"/>
  <c r="F14" i="94"/>
  <c r="F13" i="44"/>
  <c r="C13" i="44"/>
  <c r="C14" i="94"/>
  <c r="F16" i="44"/>
  <c r="F12" i="94"/>
  <c r="D8" i="44"/>
  <c r="D9" i="94"/>
  <c r="F15" i="44"/>
  <c r="F18" i="94"/>
  <c r="F17" i="44"/>
  <c r="K22" i="88"/>
  <c r="L22" i="88" s="1"/>
  <c r="L20" i="51" s="1"/>
  <c r="D38" i="48" s="1"/>
  <c r="K21" i="88"/>
  <c r="K19" i="51" s="1"/>
  <c r="C37" i="48" s="1"/>
  <c r="K8" i="88"/>
  <c r="E6" i="51"/>
  <c r="K12" i="88"/>
  <c r="E10" i="51"/>
  <c r="K15" i="88"/>
  <c r="K16" i="88"/>
  <c r="E14" i="51"/>
  <c r="K14" i="88"/>
  <c r="J12" i="51"/>
  <c r="L21" i="88"/>
  <c r="L19" i="51" s="1"/>
  <c r="D37" i="48" s="1"/>
  <c r="K19" i="88"/>
  <c r="E17" i="51"/>
  <c r="K6" i="88"/>
  <c r="K4" i="51" s="1"/>
  <c r="C22" i="48" s="1"/>
  <c r="J4" i="51"/>
  <c r="K9" i="88"/>
  <c r="K8" i="89"/>
  <c r="K6" i="62" s="1"/>
  <c r="K7" i="88"/>
  <c r="K18" i="88"/>
  <c r="J16" i="51"/>
  <c r="E8" i="51"/>
  <c r="K10" i="88"/>
  <c r="K20" i="88"/>
  <c r="E18" i="51"/>
  <c r="E9" i="51"/>
  <c r="K11" i="88"/>
  <c r="K6" i="89"/>
  <c r="K4" i="62" s="1"/>
  <c r="K16" i="89"/>
  <c r="L16" i="89" s="1"/>
  <c r="L14" i="62" s="1"/>
  <c r="K11" i="89"/>
  <c r="K9" i="62" s="1"/>
  <c r="K14" i="89"/>
  <c r="K12" i="62" s="1"/>
  <c r="K22" i="89"/>
  <c r="L22" i="89" s="1"/>
  <c r="L20" i="62" s="1"/>
  <c r="K21" i="89"/>
  <c r="E19" i="62"/>
  <c r="D37" i="45" s="1"/>
  <c r="K9" i="89"/>
  <c r="E7" i="62"/>
  <c r="D25" i="45" s="1"/>
  <c r="K10" i="89"/>
  <c r="E8" i="62"/>
  <c r="D26" i="45" s="1"/>
  <c r="K13" i="89"/>
  <c r="K17" i="89"/>
  <c r="K18" i="89"/>
  <c r="J16" i="62"/>
  <c r="C34" i="45" s="1"/>
  <c r="K19" i="89"/>
  <c r="K15" i="89"/>
  <c r="J13" i="62"/>
  <c r="C31" i="45" s="1"/>
  <c r="K7" i="89"/>
  <c r="E5" i="62"/>
  <c r="D23" i="45" s="1"/>
  <c r="K20" i="89"/>
  <c r="K12" i="89"/>
  <c r="E10" i="62"/>
  <c r="D28" i="45" s="1"/>
  <c r="L17" i="88" l="1"/>
  <c r="L15" i="51" s="1"/>
  <c r="D33" i="48" s="1"/>
  <c r="K11" i="51"/>
  <c r="C29" i="48" s="1"/>
  <c r="K14" i="62"/>
  <c r="L18" i="60" s="1"/>
  <c r="L10" i="60"/>
  <c r="E24" i="45"/>
  <c r="E32" i="45"/>
  <c r="L13" i="60"/>
  <c r="E27" i="45"/>
  <c r="L16" i="60"/>
  <c r="E30" i="45"/>
  <c r="L8" i="60"/>
  <c r="M8" i="60" s="1"/>
  <c r="E22" i="45"/>
  <c r="L14" i="94"/>
  <c r="J14" i="94"/>
  <c r="K14" i="94"/>
  <c r="L12" i="94"/>
  <c r="K12" i="94"/>
  <c r="J12" i="94"/>
  <c r="J18" i="94"/>
  <c r="L18" i="94"/>
  <c r="K18" i="94"/>
  <c r="K16" i="94"/>
  <c r="L16" i="94"/>
  <c r="J16" i="94"/>
  <c r="K20" i="94"/>
  <c r="L20" i="94"/>
  <c r="J20" i="94"/>
  <c r="K19" i="94"/>
  <c r="L19" i="94"/>
  <c r="J19" i="94"/>
  <c r="L6" i="89"/>
  <c r="L4" i="62" s="1"/>
  <c r="K20" i="51"/>
  <c r="C38" i="48" s="1"/>
  <c r="L14" i="89"/>
  <c r="L12" i="62" s="1"/>
  <c r="L11" i="89"/>
  <c r="L9" i="62" s="1"/>
  <c r="L11" i="88"/>
  <c r="L9" i="51" s="1"/>
  <c r="D27" i="48" s="1"/>
  <c r="K9" i="51"/>
  <c r="C27" i="48" s="1"/>
  <c r="L7" i="88"/>
  <c r="L5" i="51" s="1"/>
  <c r="D23" i="48" s="1"/>
  <c r="K5" i="51"/>
  <c r="C23" i="48" s="1"/>
  <c r="L19" i="88"/>
  <c r="L17" i="51" s="1"/>
  <c r="D35" i="48" s="1"/>
  <c r="K17" i="51"/>
  <c r="C35" i="48" s="1"/>
  <c r="L12" i="88"/>
  <c r="L10" i="51" s="1"/>
  <c r="D28" i="48" s="1"/>
  <c r="K10" i="51"/>
  <c r="C28" i="48" s="1"/>
  <c r="L9" i="88"/>
  <c r="L7" i="51" s="1"/>
  <c r="D25" i="48" s="1"/>
  <c r="K7" i="51"/>
  <c r="C25" i="48" s="1"/>
  <c r="L20" i="88"/>
  <c r="L18" i="51" s="1"/>
  <c r="D36" i="48" s="1"/>
  <c r="K18" i="51"/>
  <c r="C36" i="48" s="1"/>
  <c r="L10" i="88"/>
  <c r="L8" i="51" s="1"/>
  <c r="D26" i="48" s="1"/>
  <c r="K8" i="51"/>
  <c r="C26" i="48" s="1"/>
  <c r="L14" i="88"/>
  <c r="L12" i="51" s="1"/>
  <c r="D30" i="48" s="1"/>
  <c r="K12" i="51"/>
  <c r="C30" i="48" s="1"/>
  <c r="L8" i="88"/>
  <c r="L6" i="51" s="1"/>
  <c r="D24" i="48" s="1"/>
  <c r="K6" i="51"/>
  <c r="C24" i="48" s="1"/>
  <c r="L6" i="88"/>
  <c r="L4" i="51" s="1"/>
  <c r="D22" i="48" s="1"/>
  <c r="L16" i="88"/>
  <c r="L14" i="51" s="1"/>
  <c r="D32" i="48" s="1"/>
  <c r="K14" i="51"/>
  <c r="C32" i="48" s="1"/>
  <c r="L8" i="89"/>
  <c r="L6" i="62" s="1"/>
  <c r="L18" i="88"/>
  <c r="L16" i="51" s="1"/>
  <c r="D34" i="48" s="1"/>
  <c r="K16" i="51"/>
  <c r="C34" i="48" s="1"/>
  <c r="L15" i="88"/>
  <c r="L13" i="51" s="1"/>
  <c r="D31" i="48" s="1"/>
  <c r="K13" i="51"/>
  <c r="C31" i="48" s="1"/>
  <c r="K20" i="62"/>
  <c r="L19" i="89"/>
  <c r="L17" i="62" s="1"/>
  <c r="K17" i="62"/>
  <c r="L10" i="89"/>
  <c r="L8" i="62" s="1"/>
  <c r="K8" i="62"/>
  <c r="L21" i="89"/>
  <c r="L19" i="62" s="1"/>
  <c r="K19" i="62"/>
  <c r="L7" i="89"/>
  <c r="L5" i="62" s="1"/>
  <c r="K5" i="62"/>
  <c r="L17" i="89"/>
  <c r="L15" i="62" s="1"/>
  <c r="K15" i="62"/>
  <c r="L15" i="89"/>
  <c r="L13" i="62" s="1"/>
  <c r="K13" i="62"/>
  <c r="L12" i="89"/>
  <c r="L10" i="62" s="1"/>
  <c r="K10" i="62"/>
  <c r="L9" i="89"/>
  <c r="L7" i="62" s="1"/>
  <c r="K7" i="62"/>
  <c r="L13" i="89"/>
  <c r="L11" i="62" s="1"/>
  <c r="K11" i="62"/>
  <c r="L20" i="89"/>
  <c r="L18" i="62" s="1"/>
  <c r="K18" i="62"/>
  <c r="L18" i="89"/>
  <c r="L16" i="62" s="1"/>
  <c r="K16" i="62"/>
  <c r="I24" i="60"/>
  <c r="J24" i="60"/>
  <c r="J23" i="60"/>
  <c r="I23" i="60"/>
  <c r="L22" i="60" l="1"/>
  <c r="E36" i="45"/>
  <c r="L12" i="60"/>
  <c r="E26" i="45"/>
  <c r="L20" i="60"/>
  <c r="E34" i="45"/>
  <c r="L14" i="60"/>
  <c r="M14" i="60" s="1"/>
  <c r="E28" i="45"/>
  <c r="L23" i="60"/>
  <c r="M23" i="60" s="1"/>
  <c r="E37" i="45"/>
  <c r="F30" i="45"/>
  <c r="G30" i="45"/>
  <c r="L15" i="60"/>
  <c r="M15" i="60" s="1"/>
  <c r="E29" i="45"/>
  <c r="L17" i="60"/>
  <c r="M17" i="60" s="1"/>
  <c r="E31" i="45"/>
  <c r="L19" i="60"/>
  <c r="E33" i="45"/>
  <c r="G27" i="45"/>
  <c r="F27" i="45"/>
  <c r="G24" i="45"/>
  <c r="F24" i="45"/>
  <c r="G32" i="45"/>
  <c r="F32" i="45"/>
  <c r="L21" i="60"/>
  <c r="E35" i="45"/>
  <c r="L11" i="60"/>
  <c r="E25" i="45"/>
  <c r="L9" i="60"/>
  <c r="M9" i="60" s="1"/>
  <c r="E23" i="45"/>
  <c r="L24" i="60"/>
  <c r="M24" i="60" s="1"/>
  <c r="E38" i="45"/>
  <c r="G22" i="45"/>
  <c r="F22" i="45"/>
  <c r="M34" i="87"/>
  <c r="Y34" i="87" s="1"/>
  <c r="M35" i="87"/>
  <c r="Y35" i="87" s="1"/>
  <c r="M36" i="87"/>
  <c r="Y36" i="87" s="1"/>
  <c r="L29" i="87"/>
  <c r="AC29" i="87" s="1"/>
  <c r="L33" i="87"/>
  <c r="AC33" i="87" s="1"/>
  <c r="L37" i="87"/>
  <c r="AC37" i="87" s="1"/>
  <c r="AB29" i="87"/>
  <c r="AB30" i="87"/>
  <c r="L30" i="87" s="1"/>
  <c r="AC30" i="87" s="1"/>
  <c r="AB31" i="87"/>
  <c r="L31" i="87" s="1"/>
  <c r="AC31" i="87" s="1"/>
  <c r="AB32" i="87"/>
  <c r="L32" i="87" s="1"/>
  <c r="AC32" i="87" s="1"/>
  <c r="AB33" i="87"/>
  <c r="AB34" i="87"/>
  <c r="L34" i="87" s="1"/>
  <c r="AC34" i="87" s="1"/>
  <c r="AB35" i="87"/>
  <c r="L35" i="87" s="1"/>
  <c r="AC35" i="87" s="1"/>
  <c r="AB36" i="87"/>
  <c r="L36" i="87" s="1"/>
  <c r="AC36" i="87" s="1"/>
  <c r="AB37" i="87"/>
  <c r="AB38" i="87"/>
  <c r="L38" i="87" s="1"/>
  <c r="AC38" i="87" s="1"/>
  <c r="AB28" i="87"/>
  <c r="L28" i="87" s="1"/>
  <c r="AC28" i="87" s="1"/>
  <c r="X29" i="87"/>
  <c r="M29" i="87" s="1"/>
  <c r="Y29" i="87" s="1"/>
  <c r="X30" i="87"/>
  <c r="M30" i="87" s="1"/>
  <c r="Y30" i="87" s="1"/>
  <c r="X31" i="87"/>
  <c r="M31" i="87" s="1"/>
  <c r="Y31" i="87" s="1"/>
  <c r="X32" i="87"/>
  <c r="M32" i="87" s="1"/>
  <c r="Y32" i="87" s="1"/>
  <c r="X33" i="87"/>
  <c r="M33" i="87" s="1"/>
  <c r="Y33" i="87" s="1"/>
  <c r="X34" i="87"/>
  <c r="X35" i="87"/>
  <c r="X36" i="87"/>
  <c r="X37" i="87"/>
  <c r="M37" i="87" s="1"/>
  <c r="Y37" i="87" s="1"/>
  <c r="X38" i="87"/>
  <c r="M38" i="87" s="1"/>
  <c r="Y38" i="87" s="1"/>
  <c r="X28" i="87"/>
  <c r="M28" i="87" s="1"/>
  <c r="Y28" i="87" s="1"/>
  <c r="N37" i="87"/>
  <c r="K37" i="87"/>
  <c r="F37" i="87"/>
  <c r="C37" i="87"/>
  <c r="N36" i="87"/>
  <c r="K36" i="87"/>
  <c r="F36" i="87"/>
  <c r="C36" i="87"/>
  <c r="N35" i="87"/>
  <c r="K35" i="87"/>
  <c r="F35" i="87"/>
  <c r="C35" i="87"/>
  <c r="N34" i="87"/>
  <c r="K34" i="87"/>
  <c r="F34" i="87"/>
  <c r="C34" i="87"/>
  <c r="N33" i="87"/>
  <c r="K33" i="87"/>
  <c r="F33" i="87"/>
  <c r="C33" i="87"/>
  <c r="N32" i="87"/>
  <c r="K32" i="87"/>
  <c r="F32" i="87"/>
  <c r="C32" i="87"/>
  <c r="N31" i="87"/>
  <c r="K31" i="87"/>
  <c r="F31" i="87"/>
  <c r="C31" i="87"/>
  <c r="N30" i="87"/>
  <c r="K30" i="87"/>
  <c r="F30" i="87"/>
  <c r="C30" i="87"/>
  <c r="N29" i="87"/>
  <c r="K29" i="87"/>
  <c r="F29" i="87"/>
  <c r="C29" i="87"/>
  <c r="N28" i="87"/>
  <c r="K28" i="87"/>
  <c r="F28" i="87"/>
  <c r="C28" i="87"/>
  <c r="M16" i="67"/>
  <c r="H5" i="58"/>
  <c r="C5" i="58"/>
  <c r="D17" i="58"/>
  <c r="J6" i="58"/>
  <c r="J7" i="58"/>
  <c r="I8" i="58"/>
  <c r="I9" i="58"/>
  <c r="J10" i="58"/>
  <c r="I11" i="58"/>
  <c r="I12" i="58"/>
  <c r="I14" i="58"/>
  <c r="I15" i="58"/>
  <c r="H16" i="58"/>
  <c r="H17" i="58"/>
  <c r="J18" i="58"/>
  <c r="I19" i="58"/>
  <c r="J20" i="58"/>
  <c r="I20" i="58"/>
  <c r="I6" i="58"/>
  <c r="H7" i="58"/>
  <c r="I7" i="58"/>
  <c r="H8" i="58"/>
  <c r="H9" i="58"/>
  <c r="H10" i="58"/>
  <c r="I10" i="58"/>
  <c r="H11" i="58"/>
  <c r="H13" i="58"/>
  <c r="I13" i="58"/>
  <c r="H15" i="58"/>
  <c r="I16" i="58"/>
  <c r="I18" i="58"/>
  <c r="D5" i="58"/>
  <c r="E5" i="58"/>
  <c r="F5" i="58"/>
  <c r="G5" i="58"/>
  <c r="D6" i="58"/>
  <c r="E6" i="58"/>
  <c r="F6" i="58"/>
  <c r="G6" i="58"/>
  <c r="D7" i="58"/>
  <c r="E7" i="58"/>
  <c r="F7" i="58"/>
  <c r="G7" i="58"/>
  <c r="D8" i="58"/>
  <c r="E8" i="58"/>
  <c r="F8" i="58"/>
  <c r="G8" i="58"/>
  <c r="D9" i="58"/>
  <c r="E9" i="58"/>
  <c r="F9" i="58"/>
  <c r="G9" i="58"/>
  <c r="D10" i="58"/>
  <c r="E10" i="58"/>
  <c r="F10" i="58"/>
  <c r="G10" i="58"/>
  <c r="D11" i="58"/>
  <c r="E11" i="58"/>
  <c r="F11" i="58"/>
  <c r="G11" i="58"/>
  <c r="D12" i="58"/>
  <c r="E12" i="58"/>
  <c r="F12" i="58"/>
  <c r="G12" i="58"/>
  <c r="D13" i="58"/>
  <c r="E13" i="58"/>
  <c r="F13" i="58"/>
  <c r="G13" i="58"/>
  <c r="D14" i="58"/>
  <c r="E14" i="58"/>
  <c r="F14" i="58"/>
  <c r="G14" i="58"/>
  <c r="D15" i="58"/>
  <c r="E15" i="58"/>
  <c r="F15" i="58"/>
  <c r="G15" i="58"/>
  <c r="D16" i="58"/>
  <c r="E16" i="58"/>
  <c r="F16" i="58"/>
  <c r="G16" i="58"/>
  <c r="E17" i="58"/>
  <c r="F17" i="58"/>
  <c r="G17" i="58"/>
  <c r="D18" i="58"/>
  <c r="E18" i="58"/>
  <c r="F18" i="58"/>
  <c r="G18" i="58"/>
  <c r="D19" i="58"/>
  <c r="E19" i="58"/>
  <c r="F19" i="58"/>
  <c r="G19" i="58"/>
  <c r="D20" i="58"/>
  <c r="E20" i="58"/>
  <c r="F20" i="58"/>
  <c r="G20" i="58"/>
  <c r="C6" i="58"/>
  <c r="C7" i="58"/>
  <c r="C8" i="58"/>
  <c r="C9" i="58"/>
  <c r="C10" i="58"/>
  <c r="C11" i="58"/>
  <c r="C12" i="58"/>
  <c r="C13" i="58"/>
  <c r="C14" i="58"/>
  <c r="C15" i="58"/>
  <c r="C16" i="58"/>
  <c r="C17" i="58"/>
  <c r="C18" i="58"/>
  <c r="C19" i="58"/>
  <c r="C20" i="58"/>
  <c r="B26" i="72"/>
  <c r="B27" i="72"/>
  <c r="AD41" i="72" s="1" a="1"/>
  <c r="AD41" i="72" s="1"/>
  <c r="B28" i="72"/>
  <c r="B29" i="72"/>
  <c r="B30" i="72"/>
  <c r="B31" i="72"/>
  <c r="B32" i="72"/>
  <c r="B33" i="72"/>
  <c r="B34" i="72"/>
  <c r="B35" i="72"/>
  <c r="B36" i="72"/>
  <c r="B37" i="72"/>
  <c r="B38" i="72"/>
  <c r="B39" i="72"/>
  <c r="B40" i="72"/>
  <c r="B41" i="72"/>
  <c r="B42" i="72"/>
  <c r="B43" i="72"/>
  <c r="B44" i="72"/>
  <c r="B45" i="72"/>
  <c r="B46" i="72"/>
  <c r="B47" i="72"/>
  <c r="B48" i="72"/>
  <c r="B49" i="72"/>
  <c r="B50" i="72"/>
  <c r="B51" i="72"/>
  <c r="B52" i="72"/>
  <c r="B53" i="72"/>
  <c r="B54" i="72"/>
  <c r="B55" i="72"/>
  <c r="B56" i="72"/>
  <c r="B57" i="72"/>
  <c r="B58" i="72"/>
  <c r="B59" i="72"/>
  <c r="B60" i="72"/>
  <c r="B61" i="72"/>
  <c r="B62" i="72"/>
  <c r="B63" i="72"/>
  <c r="B64" i="72"/>
  <c r="B65" i="72"/>
  <c r="B66" i="72"/>
  <c r="B67" i="72"/>
  <c r="B68" i="72"/>
  <c r="B69" i="72"/>
  <c r="B70" i="72"/>
  <c r="B71" i="72"/>
  <c r="B72" i="72"/>
  <c r="B73" i="72"/>
  <c r="B74" i="72"/>
  <c r="B75" i="72"/>
  <c r="B76" i="72"/>
  <c r="B77" i="72"/>
  <c r="B78" i="72"/>
  <c r="B79" i="72"/>
  <c r="B80" i="72"/>
  <c r="B81" i="72"/>
  <c r="B82" i="72"/>
  <c r="B83" i="72"/>
  <c r="B84" i="72"/>
  <c r="B85" i="72"/>
  <c r="B86" i="72"/>
  <c r="B87" i="72"/>
  <c r="B88" i="72"/>
  <c r="B89" i="72"/>
  <c r="B90" i="72"/>
  <c r="B91" i="72"/>
  <c r="B92" i="72"/>
  <c r="B93" i="72"/>
  <c r="B94" i="72"/>
  <c r="B95" i="72"/>
  <c r="B96" i="72"/>
  <c r="B97" i="72"/>
  <c r="B98" i="72"/>
  <c r="B99" i="72"/>
  <c r="B100" i="72"/>
  <c r="B101" i="72"/>
  <c r="B102" i="72"/>
  <c r="B103" i="72"/>
  <c r="B104" i="72"/>
  <c r="B105" i="72"/>
  <c r="T26" i="72"/>
  <c r="T27" i="72"/>
  <c r="T28" i="72"/>
  <c r="T29" i="72"/>
  <c r="T30" i="72"/>
  <c r="T31" i="72"/>
  <c r="T32" i="72"/>
  <c r="T33" i="72"/>
  <c r="T34" i="72"/>
  <c r="T35" i="72"/>
  <c r="T36" i="72"/>
  <c r="T37" i="72"/>
  <c r="T38" i="72"/>
  <c r="T39" i="72"/>
  <c r="T40" i="72"/>
  <c r="T41" i="72"/>
  <c r="T42" i="72"/>
  <c r="T43" i="72"/>
  <c r="T44" i="72"/>
  <c r="T45" i="72"/>
  <c r="T46" i="72"/>
  <c r="T47" i="72"/>
  <c r="T48" i="72"/>
  <c r="T49" i="72"/>
  <c r="T50" i="72"/>
  <c r="T51" i="72"/>
  <c r="T52" i="72"/>
  <c r="T53" i="72"/>
  <c r="T54" i="72"/>
  <c r="T55" i="72"/>
  <c r="T56" i="72"/>
  <c r="T57" i="72"/>
  <c r="T58" i="72"/>
  <c r="T59" i="72"/>
  <c r="T60" i="72"/>
  <c r="T61" i="72"/>
  <c r="T62" i="72"/>
  <c r="T63" i="72"/>
  <c r="T64" i="72"/>
  <c r="T65" i="72"/>
  <c r="T66" i="72"/>
  <c r="T67" i="72"/>
  <c r="T68" i="72"/>
  <c r="T69" i="72"/>
  <c r="T70" i="72"/>
  <c r="T71" i="72"/>
  <c r="T72" i="72"/>
  <c r="T73" i="72"/>
  <c r="T74" i="72"/>
  <c r="T75" i="72"/>
  <c r="T76" i="72"/>
  <c r="T77" i="72"/>
  <c r="T78" i="72"/>
  <c r="T79" i="72"/>
  <c r="T80" i="72"/>
  <c r="T81" i="72"/>
  <c r="T82" i="72"/>
  <c r="T83" i="72"/>
  <c r="T84" i="72"/>
  <c r="T85" i="72"/>
  <c r="T86" i="72"/>
  <c r="T87" i="72"/>
  <c r="T88" i="72"/>
  <c r="T89" i="72"/>
  <c r="T90" i="72"/>
  <c r="T91" i="72"/>
  <c r="T92" i="72"/>
  <c r="T93" i="72"/>
  <c r="T94" i="72"/>
  <c r="T95" i="72"/>
  <c r="T96" i="72"/>
  <c r="T97" i="72"/>
  <c r="T98" i="72"/>
  <c r="T99" i="72"/>
  <c r="T100" i="72"/>
  <c r="T101" i="72"/>
  <c r="T102" i="72"/>
  <c r="T103" i="72"/>
  <c r="T104" i="72"/>
  <c r="T105" i="72"/>
  <c r="N106" i="72"/>
  <c r="O106" i="72"/>
  <c r="T106" i="72"/>
  <c r="N107" i="72"/>
  <c r="O107" i="72"/>
  <c r="T107" i="72"/>
  <c r="N108" i="72"/>
  <c r="O108" i="72"/>
  <c r="T108" i="72"/>
  <c r="N109" i="72"/>
  <c r="O109" i="72"/>
  <c r="T109" i="72"/>
  <c r="N110" i="72"/>
  <c r="O110" i="72"/>
  <c r="T110" i="72"/>
  <c r="N111" i="72"/>
  <c r="O111" i="72"/>
  <c r="T111" i="72"/>
  <c r="N112" i="72"/>
  <c r="O112" i="72"/>
  <c r="T112" i="72"/>
  <c r="N113" i="72"/>
  <c r="O113" i="72"/>
  <c r="T113" i="72"/>
  <c r="N114" i="72"/>
  <c r="O114" i="72"/>
  <c r="T114" i="72"/>
  <c r="N115" i="72"/>
  <c r="O115" i="72"/>
  <c r="T115" i="72"/>
  <c r="C26" i="72"/>
  <c r="N126" i="72" s="1"/>
  <c r="C27" i="72"/>
  <c r="C28" i="72"/>
  <c r="C29" i="72"/>
  <c r="N116" i="72" s="1"/>
  <c r="C30" i="72"/>
  <c r="C31" i="72"/>
  <c r="C32" i="72"/>
  <c r="C33" i="72"/>
  <c r="C34" i="72"/>
  <c r="N117" i="72" s="1"/>
  <c r="C35" i="72"/>
  <c r="C36" i="72"/>
  <c r="C37" i="72"/>
  <c r="N127" i="72" s="1"/>
  <c r="Q127" i="72" s="1"/>
  <c r="C38" i="72"/>
  <c r="C39" i="72"/>
  <c r="C40" i="72"/>
  <c r="C41" i="72"/>
  <c r="C42" i="72"/>
  <c r="N118" i="72" s="1"/>
  <c r="C43" i="72"/>
  <c r="C44" i="72"/>
  <c r="C45" i="72"/>
  <c r="C46" i="72"/>
  <c r="C47" i="72"/>
  <c r="C48" i="72"/>
  <c r="C49" i="72"/>
  <c r="C50" i="72"/>
  <c r="N129" i="72" s="1"/>
  <c r="C51" i="72"/>
  <c r="C52" i="72"/>
  <c r="C53" i="72"/>
  <c r="C54" i="72"/>
  <c r="C55" i="72"/>
  <c r="C56" i="72"/>
  <c r="C57" i="72"/>
  <c r="C58" i="72"/>
  <c r="N130" i="72" s="1"/>
  <c r="C59" i="72"/>
  <c r="C60" i="72"/>
  <c r="C61" i="72"/>
  <c r="N120" i="72" s="1"/>
  <c r="C62" i="72"/>
  <c r="C63" i="72"/>
  <c r="C64" i="72"/>
  <c r="C65" i="72"/>
  <c r="C66" i="72"/>
  <c r="N121" i="72" s="1"/>
  <c r="C67" i="72"/>
  <c r="C68" i="72"/>
  <c r="C69" i="72"/>
  <c r="N131" i="72" s="1"/>
  <c r="C70" i="72"/>
  <c r="C71" i="72"/>
  <c r="C72" i="72"/>
  <c r="C73" i="72"/>
  <c r="C74" i="72"/>
  <c r="N122" i="72" s="1"/>
  <c r="C75" i="72"/>
  <c r="C76" i="72"/>
  <c r="C77" i="72"/>
  <c r="C78" i="72"/>
  <c r="C79" i="72"/>
  <c r="C80" i="72"/>
  <c r="C81" i="72"/>
  <c r="C82" i="72"/>
  <c r="N133" i="72" s="1"/>
  <c r="C83" i="72"/>
  <c r="C84" i="72"/>
  <c r="C85" i="72"/>
  <c r="O123" i="72" s="1"/>
  <c r="C86" i="72"/>
  <c r="C87" i="72"/>
  <c r="C88" i="72"/>
  <c r="C89" i="72"/>
  <c r="C90" i="72"/>
  <c r="O124" i="72" s="1"/>
  <c r="C91" i="72"/>
  <c r="C92" i="72"/>
  <c r="C93" i="72"/>
  <c r="N124" i="72" s="1"/>
  <c r="T124" i="72" s="1"/>
  <c r="C94" i="72"/>
  <c r="C95" i="72"/>
  <c r="C96" i="72"/>
  <c r="C97" i="72"/>
  <c r="C98" i="72"/>
  <c r="O125" i="72" s="1"/>
  <c r="R125" i="72" s="1"/>
  <c r="S125" i="72" s="1"/>
  <c r="C99" i="72"/>
  <c r="C100" i="72"/>
  <c r="C101" i="72"/>
  <c r="C102" i="72"/>
  <c r="C103" i="72"/>
  <c r="C104" i="72"/>
  <c r="C105" i="72"/>
  <c r="O117" i="72"/>
  <c r="O121" i="72"/>
  <c r="N125" i="72"/>
  <c r="N128" i="72"/>
  <c r="O128" i="72"/>
  <c r="N132" i="72"/>
  <c r="T132" i="72" s="1"/>
  <c r="O132" i="72"/>
  <c r="N135" i="72"/>
  <c r="O135" i="72"/>
  <c r="T135" i="72" s="1"/>
  <c r="B6" i="70"/>
  <c r="B7" i="70"/>
  <c r="B8" i="70"/>
  <c r="B9" i="70"/>
  <c r="B10" i="70"/>
  <c r="B11" i="70"/>
  <c r="B12" i="70"/>
  <c r="B13" i="70"/>
  <c r="B14" i="70"/>
  <c r="B15" i="70"/>
  <c r="B16" i="70"/>
  <c r="B17" i="70"/>
  <c r="B18" i="70"/>
  <c r="B19" i="70"/>
  <c r="B20" i="70"/>
  <c r="B21" i="70"/>
  <c r="B34" i="70"/>
  <c r="B35" i="70"/>
  <c r="B36" i="70"/>
  <c r="B37" i="70"/>
  <c r="B38" i="70"/>
  <c r="B39" i="70"/>
  <c r="B40" i="70"/>
  <c r="B41" i="70"/>
  <c r="B42" i="70"/>
  <c r="B43" i="70"/>
  <c r="B44" i="70"/>
  <c r="B45" i="70"/>
  <c r="B46" i="70"/>
  <c r="B47" i="70"/>
  <c r="B48" i="70"/>
  <c r="B49" i="70"/>
  <c r="B50" i="70"/>
  <c r="B51" i="70"/>
  <c r="B52" i="70"/>
  <c r="B53" i="70"/>
  <c r="B54" i="70"/>
  <c r="B55" i="70"/>
  <c r="B56" i="70"/>
  <c r="B57" i="70"/>
  <c r="B58" i="70"/>
  <c r="B59" i="70"/>
  <c r="B60" i="70"/>
  <c r="B61" i="70"/>
  <c r="B62" i="70"/>
  <c r="B63" i="70"/>
  <c r="B64" i="70"/>
  <c r="B65" i="70"/>
  <c r="B66" i="70"/>
  <c r="B67" i="70"/>
  <c r="B68" i="70"/>
  <c r="B69" i="70"/>
  <c r="B70" i="70"/>
  <c r="B71" i="70"/>
  <c r="B72" i="70"/>
  <c r="B73" i="70"/>
  <c r="B74" i="70"/>
  <c r="B75" i="70"/>
  <c r="B76" i="70"/>
  <c r="B77" i="70"/>
  <c r="B78" i="70"/>
  <c r="B79" i="70"/>
  <c r="B80" i="70"/>
  <c r="B81" i="70"/>
  <c r="N23" i="70"/>
  <c r="K29" i="71"/>
  <c r="L29" i="71"/>
  <c r="M29" i="71"/>
  <c r="B26" i="74"/>
  <c r="F26" i="74"/>
  <c r="G26" i="74"/>
  <c r="I26" i="74"/>
  <c r="E26" i="74"/>
  <c r="J26" i="74"/>
  <c r="N29" i="71"/>
  <c r="K30" i="71"/>
  <c r="L30" i="71"/>
  <c r="M30" i="71"/>
  <c r="B27" i="74"/>
  <c r="F27" i="74"/>
  <c r="G27" i="74"/>
  <c r="I27" i="74"/>
  <c r="E27" i="74"/>
  <c r="J27" i="74"/>
  <c r="N30" i="71"/>
  <c r="K31" i="71"/>
  <c r="L31" i="71"/>
  <c r="M31" i="71"/>
  <c r="B28" i="74"/>
  <c r="F28" i="74"/>
  <c r="G28" i="74"/>
  <c r="I28" i="74"/>
  <c r="E28" i="74"/>
  <c r="J28" i="74"/>
  <c r="N31" i="71"/>
  <c r="K32" i="71"/>
  <c r="L32" i="71"/>
  <c r="M32" i="71"/>
  <c r="B29" i="74"/>
  <c r="F29" i="74"/>
  <c r="G29" i="74"/>
  <c r="I29" i="74"/>
  <c r="E29" i="74"/>
  <c r="J29" i="74"/>
  <c r="N32" i="71"/>
  <c r="K33" i="71"/>
  <c r="L33" i="71"/>
  <c r="M33" i="71"/>
  <c r="B30" i="74"/>
  <c r="F30" i="74"/>
  <c r="G30" i="74"/>
  <c r="I30" i="74"/>
  <c r="E30" i="74"/>
  <c r="J30" i="74"/>
  <c r="N33" i="71"/>
  <c r="K34" i="71"/>
  <c r="L34" i="71"/>
  <c r="M34" i="71"/>
  <c r="B31" i="74"/>
  <c r="F31" i="74"/>
  <c r="G31" i="74"/>
  <c r="H31" i="74"/>
  <c r="I31" i="74"/>
  <c r="E31" i="74"/>
  <c r="J31" i="74"/>
  <c r="N34" i="71"/>
  <c r="K35" i="71"/>
  <c r="L35" i="71"/>
  <c r="M35" i="71"/>
  <c r="B32" i="74"/>
  <c r="F32" i="74"/>
  <c r="G32" i="74"/>
  <c r="H32" i="74"/>
  <c r="I32" i="74"/>
  <c r="E32" i="74"/>
  <c r="J32" i="74"/>
  <c r="N35" i="71"/>
  <c r="K36" i="71"/>
  <c r="L36" i="71"/>
  <c r="M36" i="71"/>
  <c r="B33" i="74"/>
  <c r="F33" i="74"/>
  <c r="G33" i="74"/>
  <c r="H33" i="74"/>
  <c r="I33" i="74"/>
  <c r="E33" i="74"/>
  <c r="J33" i="74"/>
  <c r="N36" i="71"/>
  <c r="K37" i="71"/>
  <c r="L37" i="71"/>
  <c r="M37" i="71"/>
  <c r="B34" i="74"/>
  <c r="F34" i="74"/>
  <c r="G34" i="74"/>
  <c r="H34" i="74"/>
  <c r="I34" i="74"/>
  <c r="J34" i="74"/>
  <c r="N37" i="71"/>
  <c r="B25" i="74"/>
  <c r="F25" i="74"/>
  <c r="G25" i="74"/>
  <c r="I25" i="74"/>
  <c r="E25" i="74"/>
  <c r="J25" i="74"/>
  <c r="N28" i="71"/>
  <c r="M28" i="71"/>
  <c r="L28" i="71"/>
  <c r="K28" i="71"/>
  <c r="DM16" i="69"/>
  <c r="DL16" i="69"/>
  <c r="DK16" i="69"/>
  <c r="DJ16" i="69"/>
  <c r="DI16" i="69"/>
  <c r="DH16" i="69"/>
  <c r="DG16" i="69"/>
  <c r="DF16" i="69"/>
  <c r="DE16" i="69"/>
  <c r="DD16" i="69"/>
  <c r="DC16" i="69"/>
  <c r="DB16" i="69"/>
  <c r="DA16" i="69"/>
  <c r="CZ16" i="69"/>
  <c r="CY16" i="69"/>
  <c r="CX16" i="69"/>
  <c r="CW16" i="69"/>
  <c r="CV16" i="69"/>
  <c r="CU16" i="69"/>
  <c r="CT16" i="69"/>
  <c r="CS16" i="69"/>
  <c r="D27" i="80"/>
  <c r="D28" i="80"/>
  <c r="D29" i="80"/>
  <c r="D30" i="80"/>
  <c r="B26" i="73"/>
  <c r="B27" i="73"/>
  <c r="X41" i="73" s="1" a="1"/>
  <c r="X41" i="73" s="1"/>
  <c r="B28" i="73"/>
  <c r="B29" i="73"/>
  <c r="B30" i="73"/>
  <c r="Z32" i="73" s="1" a="1"/>
  <c r="Z32" i="73" s="1"/>
  <c r="B31" i="73"/>
  <c r="AE42" i="73" s="1" a="1"/>
  <c r="AE42" i="73" s="1"/>
  <c r="B32" i="73"/>
  <c r="B33" i="73"/>
  <c r="B34" i="73"/>
  <c r="B35" i="73"/>
  <c r="B36" i="73"/>
  <c r="B37" i="73"/>
  <c r="B38" i="73"/>
  <c r="B39" i="73"/>
  <c r="B40" i="73"/>
  <c r="B41" i="73"/>
  <c r="B42" i="73"/>
  <c r="B43" i="73"/>
  <c r="B44" i="73"/>
  <c r="B45" i="73"/>
  <c r="B46" i="73"/>
  <c r="B47" i="73"/>
  <c r="B48" i="73"/>
  <c r="B49" i="73"/>
  <c r="B50" i="73"/>
  <c r="B51" i="73"/>
  <c r="B52" i="73"/>
  <c r="B53" i="73"/>
  <c r="B54" i="73"/>
  <c r="B55" i="73"/>
  <c r="B56" i="73"/>
  <c r="B57" i="73"/>
  <c r="B58" i="73"/>
  <c r="B59" i="73"/>
  <c r="B60" i="73"/>
  <c r="B61" i="73"/>
  <c r="B62" i="73"/>
  <c r="B63" i="73"/>
  <c r="B64" i="73"/>
  <c r="B65" i="73"/>
  <c r="B66" i="73"/>
  <c r="B67" i="73"/>
  <c r="B68" i="73"/>
  <c r="B69" i="73"/>
  <c r="B70" i="73"/>
  <c r="B71" i="73"/>
  <c r="B72" i="73"/>
  <c r="B73" i="73"/>
  <c r="B74" i="73"/>
  <c r="B75" i="73"/>
  <c r="B76" i="73"/>
  <c r="B77" i="73"/>
  <c r="B78" i="73"/>
  <c r="B79" i="73"/>
  <c r="B80" i="73"/>
  <c r="B81" i="73"/>
  <c r="B82" i="73"/>
  <c r="B83" i="73"/>
  <c r="B84" i="73"/>
  <c r="B85" i="73"/>
  <c r="B86" i="73"/>
  <c r="B87" i="73"/>
  <c r="B88" i="73"/>
  <c r="B89" i="73"/>
  <c r="B90" i="73"/>
  <c r="B91" i="73"/>
  <c r="B92" i="73"/>
  <c r="B93" i="73"/>
  <c r="B94" i="73"/>
  <c r="B95" i="73"/>
  <c r="B96" i="73"/>
  <c r="B97" i="73"/>
  <c r="B98" i="73"/>
  <c r="B99" i="73"/>
  <c r="B100" i="73"/>
  <c r="B101" i="73"/>
  <c r="B102" i="73"/>
  <c r="B103" i="73"/>
  <c r="B104" i="73"/>
  <c r="B105" i="73"/>
  <c r="B106" i="73"/>
  <c r="B107" i="73"/>
  <c r="B108" i="73"/>
  <c r="B109" i="73"/>
  <c r="B110" i="73"/>
  <c r="B111" i="73"/>
  <c r="B112" i="73"/>
  <c r="B113" i="73"/>
  <c r="B114" i="73"/>
  <c r="B115" i="73"/>
  <c r="B116" i="73"/>
  <c r="B117" i="73"/>
  <c r="B118" i="73"/>
  <c r="B119" i="73"/>
  <c r="B120" i="73"/>
  <c r="B121" i="73"/>
  <c r="B122" i="73"/>
  <c r="B123" i="73"/>
  <c r="B124" i="73"/>
  <c r="B125" i="73"/>
  <c r="S40" i="73"/>
  <c r="S38" i="73"/>
  <c r="S49" i="73"/>
  <c r="S47" i="73"/>
  <c r="S58" i="73"/>
  <c r="S60" i="73"/>
  <c r="S67" i="73"/>
  <c r="S71" i="73"/>
  <c r="S77" i="73"/>
  <c r="S79" i="73"/>
  <c r="S89" i="73"/>
  <c r="S88" i="73"/>
  <c r="S99" i="73"/>
  <c r="X48" i="73" a="1"/>
  <c r="X48" i="73" s="1"/>
  <c r="S100" i="73"/>
  <c r="S109" i="73"/>
  <c r="S111" i="73"/>
  <c r="S117" i="73"/>
  <c r="S120" i="73"/>
  <c r="Y50" i="73" a="1"/>
  <c r="Y50" i="73" s="1"/>
  <c r="S28" i="73"/>
  <c r="S30" i="73"/>
  <c r="Z31" i="73" a="1"/>
  <c r="Z31" i="73" s="1"/>
  <c r="Z27" i="73" a="1"/>
  <c r="Z27" i="73" s="1"/>
  <c r="X27" i="73" a="1"/>
  <c r="X27" i="73" s="1"/>
  <c r="A2" i="78"/>
  <c r="A3" i="78"/>
  <c r="A4" i="78"/>
  <c r="A5" i="78"/>
  <c r="A6" i="78"/>
  <c r="A7" i="78"/>
  <c r="A8" i="78"/>
  <c r="A9" i="78"/>
  <c r="A10" i="78"/>
  <c r="A11" i="78"/>
  <c r="A12" i="78"/>
  <c r="A13" i="78"/>
  <c r="A14" i="78"/>
  <c r="A15" i="78"/>
  <c r="A16" i="78"/>
  <c r="A17" i="78"/>
  <c r="A18" i="78"/>
  <c r="A19" i="78"/>
  <c r="A20" i="78"/>
  <c r="A21" i="78"/>
  <c r="A22" i="78"/>
  <c r="A23" i="78"/>
  <c r="A24" i="78"/>
  <c r="A25" i="78"/>
  <c r="A26" i="78"/>
  <c r="A27" i="78"/>
  <c r="A28" i="78"/>
  <c r="A29" i="78"/>
  <c r="A30" i="78"/>
  <c r="A31" i="78"/>
  <c r="A32" i="78"/>
  <c r="A33" i="78"/>
  <c r="A34" i="78"/>
  <c r="C8" i="77"/>
  <c r="D8" i="77"/>
  <c r="B8" i="77"/>
  <c r="A8" i="77"/>
  <c r="C9" i="77"/>
  <c r="D9" i="77"/>
  <c r="B9" i="77"/>
  <c r="A9" i="77"/>
  <c r="C10" i="77"/>
  <c r="D10" i="77"/>
  <c r="B10" i="77"/>
  <c r="A10" i="77"/>
  <c r="C11" i="77"/>
  <c r="D11" i="77"/>
  <c r="B11" i="77"/>
  <c r="A11" i="77"/>
  <c r="C12" i="77"/>
  <c r="D12" i="77"/>
  <c r="B12" i="77"/>
  <c r="A12" i="77"/>
  <c r="C13" i="77"/>
  <c r="D13" i="77"/>
  <c r="B13" i="77"/>
  <c r="A13" i="77"/>
  <c r="C14" i="77"/>
  <c r="D14" i="77"/>
  <c r="B14" i="77"/>
  <c r="A14" i="77"/>
  <c r="C15" i="77"/>
  <c r="D15" i="77"/>
  <c r="B15" i="77"/>
  <c r="A15" i="77"/>
  <c r="C16" i="77"/>
  <c r="D16" i="77"/>
  <c r="B16" i="77"/>
  <c r="A16" i="77"/>
  <c r="B17" i="77"/>
  <c r="A17" i="77"/>
  <c r="C17" i="77"/>
  <c r="D17" i="77"/>
  <c r="B18" i="77"/>
  <c r="A18" i="77"/>
  <c r="C18" i="77"/>
  <c r="D18" i="77"/>
  <c r="B19" i="77"/>
  <c r="A19" i="77"/>
  <c r="C19" i="77"/>
  <c r="D19" i="77"/>
  <c r="C20" i="77"/>
  <c r="D20" i="77"/>
  <c r="B20" i="77"/>
  <c r="A20" i="77"/>
  <c r="C21" i="77"/>
  <c r="D21" i="77"/>
  <c r="B21" i="77"/>
  <c r="A21" i="77"/>
  <c r="C22" i="77"/>
  <c r="D22" i="77"/>
  <c r="B22" i="77"/>
  <c r="A22" i="77"/>
  <c r="C23" i="77"/>
  <c r="D23" i="77"/>
  <c r="B23" i="77"/>
  <c r="A23" i="77"/>
  <c r="C24" i="77"/>
  <c r="D24" i="77"/>
  <c r="B24" i="77"/>
  <c r="A24" i="77"/>
  <c r="C25" i="77"/>
  <c r="D25" i="77"/>
  <c r="B25" i="77"/>
  <c r="A25" i="77"/>
  <c r="C26" i="77"/>
  <c r="D26" i="77"/>
  <c r="B26" i="77"/>
  <c r="A26" i="77"/>
  <c r="C27" i="77"/>
  <c r="D27" i="77"/>
  <c r="B27" i="77"/>
  <c r="A27" i="77"/>
  <c r="C28" i="77"/>
  <c r="D28" i="77"/>
  <c r="B28" i="77"/>
  <c r="A28" i="77"/>
  <c r="B29" i="77"/>
  <c r="A29" i="77"/>
  <c r="C29" i="77"/>
  <c r="D29" i="77"/>
  <c r="B30" i="77"/>
  <c r="A30" i="77"/>
  <c r="C30" i="77"/>
  <c r="D30" i="77"/>
  <c r="B31" i="77"/>
  <c r="A31" i="77"/>
  <c r="C31" i="77"/>
  <c r="D31" i="77"/>
  <c r="C32" i="77"/>
  <c r="D32" i="77"/>
  <c r="B32" i="77"/>
  <c r="A32" i="77"/>
  <c r="C33" i="77"/>
  <c r="D33" i="77"/>
  <c r="B33" i="77"/>
  <c r="A33" i="77"/>
  <c r="C34" i="77"/>
  <c r="D34" i="77"/>
  <c r="B34" i="77"/>
  <c r="A34" i="77"/>
  <c r="C35" i="77"/>
  <c r="D35" i="77"/>
  <c r="B35" i="77"/>
  <c r="A35" i="77"/>
  <c r="C36" i="77"/>
  <c r="D36" i="77"/>
  <c r="B36" i="77"/>
  <c r="A36" i="77"/>
  <c r="C37" i="77"/>
  <c r="D37" i="77"/>
  <c r="B37" i="77"/>
  <c r="A37" i="77"/>
  <c r="C38" i="77"/>
  <c r="D38" i="77"/>
  <c r="B38" i="77"/>
  <c r="A38" i="77"/>
  <c r="C39" i="77"/>
  <c r="D39" i="77"/>
  <c r="B39" i="77"/>
  <c r="A39" i="77"/>
  <c r="C40" i="77"/>
  <c r="D40" i="77"/>
  <c r="B40" i="77"/>
  <c r="A40" i="77"/>
  <c r="B41" i="77"/>
  <c r="A41" i="77"/>
  <c r="C41" i="77"/>
  <c r="D41" i="77"/>
  <c r="B42" i="77"/>
  <c r="A42" i="77"/>
  <c r="C42" i="77"/>
  <c r="D42" i="77"/>
  <c r="B43" i="77"/>
  <c r="A43" i="77"/>
  <c r="C43" i="77"/>
  <c r="D43" i="77"/>
  <c r="C44" i="77"/>
  <c r="D44" i="77"/>
  <c r="B44" i="77"/>
  <c r="A44" i="77"/>
  <c r="C45" i="77"/>
  <c r="D45" i="77"/>
  <c r="B45" i="77"/>
  <c r="A45" i="77"/>
  <c r="C46" i="77"/>
  <c r="D46" i="77"/>
  <c r="B46" i="77"/>
  <c r="A46" i="77"/>
  <c r="C47" i="77"/>
  <c r="D47" i="77"/>
  <c r="B47" i="77"/>
  <c r="A47" i="77"/>
  <c r="C48" i="77"/>
  <c r="D48" i="77"/>
  <c r="B48" i="77"/>
  <c r="A48" i="77"/>
  <c r="C49" i="77"/>
  <c r="D49" i="77"/>
  <c r="B49" i="77"/>
  <c r="A49" i="77"/>
  <c r="C50" i="77"/>
  <c r="D50" i="77"/>
  <c r="B50" i="77"/>
  <c r="A50" i="77"/>
  <c r="C51" i="77"/>
  <c r="D51" i="77"/>
  <c r="B51" i="77"/>
  <c r="A51" i="77"/>
  <c r="C52" i="77"/>
  <c r="D52" i="77"/>
  <c r="B52" i="77"/>
  <c r="A52" i="77"/>
  <c r="B53" i="77"/>
  <c r="A53" i="77"/>
  <c r="C53" i="77"/>
  <c r="D53" i="77"/>
  <c r="B54" i="77"/>
  <c r="A54" i="77"/>
  <c r="C54" i="77"/>
  <c r="D54" i="77"/>
  <c r="B55" i="77"/>
  <c r="A55" i="77"/>
  <c r="C55" i="77"/>
  <c r="D55" i="77"/>
  <c r="C56" i="77"/>
  <c r="D56" i="77"/>
  <c r="B56" i="77"/>
  <c r="A56" i="77"/>
  <c r="C57" i="77"/>
  <c r="D57" i="77"/>
  <c r="B57" i="77"/>
  <c r="A57" i="77"/>
  <c r="C58" i="77"/>
  <c r="D58" i="77"/>
  <c r="B58" i="77"/>
  <c r="A58" i="77"/>
  <c r="C59" i="77"/>
  <c r="D59" i="77"/>
  <c r="B59" i="77"/>
  <c r="A59" i="77"/>
  <c r="C60" i="77"/>
  <c r="D60" i="77"/>
  <c r="B60" i="77"/>
  <c r="A60" i="77"/>
  <c r="C61" i="77"/>
  <c r="D61" i="77"/>
  <c r="B61" i="77"/>
  <c r="A61" i="77"/>
  <c r="C62" i="77"/>
  <c r="D62" i="77"/>
  <c r="B62" i="77"/>
  <c r="A62" i="77"/>
  <c r="C63" i="77"/>
  <c r="D63" i="77"/>
  <c r="B63" i="77"/>
  <c r="A63" i="77"/>
  <c r="C64" i="77"/>
  <c r="D64" i="77"/>
  <c r="B64" i="77"/>
  <c r="A64" i="77"/>
  <c r="B65" i="77"/>
  <c r="A65" i="77"/>
  <c r="C65" i="77"/>
  <c r="D65" i="77"/>
  <c r="B66" i="77"/>
  <c r="A66" i="77"/>
  <c r="C66" i="77"/>
  <c r="D66" i="77"/>
  <c r="B67" i="77"/>
  <c r="A67" i="77"/>
  <c r="C67" i="77"/>
  <c r="D67" i="77"/>
  <c r="C68" i="77"/>
  <c r="D68" i="77"/>
  <c r="B68" i="77"/>
  <c r="A68" i="77"/>
  <c r="C69" i="77"/>
  <c r="D69" i="77"/>
  <c r="B69" i="77"/>
  <c r="A69" i="77"/>
  <c r="C70" i="77"/>
  <c r="D70" i="77"/>
  <c r="B70" i="77"/>
  <c r="A70" i="77"/>
  <c r="C71" i="77"/>
  <c r="D71" i="77"/>
  <c r="B71" i="77"/>
  <c r="A71" i="77"/>
  <c r="C72" i="77"/>
  <c r="D72" i="77"/>
  <c r="B72" i="77"/>
  <c r="A72" i="77"/>
  <c r="C73" i="77"/>
  <c r="D73" i="77"/>
  <c r="B73" i="77"/>
  <c r="A73" i="77"/>
  <c r="C74" i="77"/>
  <c r="D74" i="77"/>
  <c r="B74" i="77"/>
  <c r="A74" i="77"/>
  <c r="C75" i="77"/>
  <c r="D75" i="77"/>
  <c r="B75" i="77"/>
  <c r="A75" i="77"/>
  <c r="C76" i="77"/>
  <c r="D76" i="77"/>
  <c r="B76" i="77"/>
  <c r="A76" i="77"/>
  <c r="B77" i="77"/>
  <c r="A77" i="77"/>
  <c r="C77" i="77"/>
  <c r="D77" i="77"/>
  <c r="B78" i="77"/>
  <c r="A78" i="77"/>
  <c r="C78" i="77"/>
  <c r="D78" i="77"/>
  <c r="B79" i="77"/>
  <c r="A79" i="77"/>
  <c r="C79" i="77"/>
  <c r="D79" i="77"/>
  <c r="C80" i="77"/>
  <c r="D80" i="77"/>
  <c r="B80" i="77"/>
  <c r="A80" i="77"/>
  <c r="C81" i="77"/>
  <c r="D81" i="77"/>
  <c r="B81" i="77"/>
  <c r="A81" i="77"/>
  <c r="C82" i="77"/>
  <c r="D82" i="77"/>
  <c r="B82" i="77"/>
  <c r="A82" i="77"/>
  <c r="C83" i="77"/>
  <c r="D83" i="77"/>
  <c r="B83" i="77"/>
  <c r="A83" i="77"/>
  <c r="C84" i="77"/>
  <c r="D84" i="77"/>
  <c r="B84" i="77"/>
  <c r="A84" i="77"/>
  <c r="C85" i="77"/>
  <c r="D85" i="77"/>
  <c r="B85" i="77"/>
  <c r="A85" i="77"/>
  <c r="C86" i="77"/>
  <c r="D86" i="77"/>
  <c r="B86" i="77"/>
  <c r="A86" i="77"/>
  <c r="C87" i="77"/>
  <c r="D87" i="77"/>
  <c r="B87" i="77"/>
  <c r="A87" i="77"/>
  <c r="C88" i="77"/>
  <c r="D88" i="77"/>
  <c r="B88" i="77"/>
  <c r="A88" i="77"/>
  <c r="B89" i="77"/>
  <c r="A89" i="77"/>
  <c r="C89" i="77"/>
  <c r="D89" i="77"/>
  <c r="B90" i="77"/>
  <c r="A90" i="77"/>
  <c r="C90" i="77"/>
  <c r="D90" i="77"/>
  <c r="B91" i="77"/>
  <c r="A91" i="77"/>
  <c r="C91" i="77"/>
  <c r="D91" i="77"/>
  <c r="C92" i="77"/>
  <c r="D92" i="77"/>
  <c r="B92" i="77"/>
  <c r="A92" i="77"/>
  <c r="C93" i="77"/>
  <c r="D93" i="77"/>
  <c r="B93" i="77"/>
  <c r="A93" i="77"/>
  <c r="C94" i="77"/>
  <c r="D94" i="77"/>
  <c r="B94" i="77"/>
  <c r="A94" i="77"/>
  <c r="C95" i="77"/>
  <c r="D95" i="77"/>
  <c r="B95" i="77"/>
  <c r="A95" i="77"/>
  <c r="C96" i="77"/>
  <c r="D96" i="77"/>
  <c r="B96" i="77"/>
  <c r="A96" i="77"/>
  <c r="C97" i="77"/>
  <c r="D97" i="77"/>
  <c r="B97" i="77"/>
  <c r="A97" i="77"/>
  <c r="C98" i="77"/>
  <c r="D98" i="77"/>
  <c r="B98" i="77"/>
  <c r="A98" i="77"/>
  <c r="C99" i="77"/>
  <c r="D99" i="77"/>
  <c r="B99" i="77"/>
  <c r="A99" i="77"/>
  <c r="C100" i="77"/>
  <c r="D100" i="77"/>
  <c r="B100" i="77"/>
  <c r="A100" i="77"/>
  <c r="B101" i="77"/>
  <c r="A101" i="77"/>
  <c r="C101" i="77"/>
  <c r="D101" i="77"/>
  <c r="B102" i="77"/>
  <c r="A102" i="77"/>
  <c r="C102" i="77"/>
  <c r="D102" i="77"/>
  <c r="B103" i="77"/>
  <c r="A103" i="77"/>
  <c r="C103" i="77"/>
  <c r="D103" i="77"/>
  <c r="C104" i="77"/>
  <c r="D104" i="77"/>
  <c r="B104" i="77"/>
  <c r="A104" i="77"/>
  <c r="C105" i="77"/>
  <c r="D105" i="77"/>
  <c r="B105" i="77"/>
  <c r="A105" i="77"/>
  <c r="C106" i="77"/>
  <c r="D106" i="77"/>
  <c r="B106" i="77"/>
  <c r="A106" i="77"/>
  <c r="C107" i="77"/>
  <c r="D107" i="77"/>
  <c r="B107" i="77"/>
  <c r="A107" i="77"/>
  <c r="C108" i="77"/>
  <c r="D108" i="77"/>
  <c r="B108" i="77"/>
  <c r="A108" i="77"/>
  <c r="C109" i="77"/>
  <c r="D109" i="77"/>
  <c r="B109" i="77"/>
  <c r="A109" i="77"/>
  <c r="C110" i="77"/>
  <c r="D110" i="77"/>
  <c r="B110" i="77"/>
  <c r="A110" i="77"/>
  <c r="C111" i="77"/>
  <c r="D111" i="77"/>
  <c r="B111" i="77"/>
  <c r="A111" i="77"/>
  <c r="C112" i="77"/>
  <c r="D112" i="77"/>
  <c r="B112" i="77"/>
  <c r="A112" i="77"/>
  <c r="B113" i="77"/>
  <c r="A113" i="77"/>
  <c r="C113" i="77"/>
  <c r="D113" i="77"/>
  <c r="B114" i="77"/>
  <c r="A114" i="77"/>
  <c r="C114" i="77"/>
  <c r="D114" i="77"/>
  <c r="B115" i="77"/>
  <c r="A115" i="77"/>
  <c r="C115" i="77"/>
  <c r="D115" i="77"/>
  <c r="C116" i="77"/>
  <c r="D116" i="77"/>
  <c r="B116" i="77"/>
  <c r="A116" i="77"/>
  <c r="C117" i="77"/>
  <c r="D117" i="77"/>
  <c r="B117" i="77"/>
  <c r="A117" i="77"/>
  <c r="C118" i="77"/>
  <c r="D118" i="77"/>
  <c r="B118" i="77"/>
  <c r="A118" i="77"/>
  <c r="C119" i="77"/>
  <c r="D119" i="77"/>
  <c r="B119" i="77"/>
  <c r="A119" i="77"/>
  <c r="C120" i="77"/>
  <c r="D120" i="77"/>
  <c r="B120" i="77"/>
  <c r="A120" i="77"/>
  <c r="C121" i="77"/>
  <c r="D121" i="77"/>
  <c r="B121" i="77"/>
  <c r="A121" i="77"/>
  <c r="C122" i="77"/>
  <c r="D122" i="77"/>
  <c r="B122" i="77"/>
  <c r="A122" i="77"/>
  <c r="C123" i="77"/>
  <c r="D123" i="77"/>
  <c r="B123" i="77"/>
  <c r="A123" i="77"/>
  <c r="C124" i="77"/>
  <c r="D124" i="77"/>
  <c r="B124" i="77"/>
  <c r="A124" i="77"/>
  <c r="B125" i="77"/>
  <c r="A125" i="77"/>
  <c r="C125" i="77"/>
  <c r="D125" i="77"/>
  <c r="B126" i="77"/>
  <c r="A126" i="77"/>
  <c r="C126" i="77"/>
  <c r="D126" i="77"/>
  <c r="B127" i="77"/>
  <c r="A127" i="77"/>
  <c r="C127" i="77"/>
  <c r="D127" i="77"/>
  <c r="C128" i="77"/>
  <c r="D128" i="77"/>
  <c r="B128" i="77"/>
  <c r="A128" i="77"/>
  <c r="C129" i="77"/>
  <c r="D129" i="77"/>
  <c r="B129" i="77"/>
  <c r="A129" i="77"/>
  <c r="C130" i="77"/>
  <c r="D130" i="77"/>
  <c r="B130" i="77"/>
  <c r="A130" i="77"/>
  <c r="C131" i="77"/>
  <c r="D131" i="77"/>
  <c r="B131" i="77"/>
  <c r="A131" i="77"/>
  <c r="C132" i="77"/>
  <c r="D132" i="77"/>
  <c r="B132" i="77"/>
  <c r="A132" i="77"/>
  <c r="C133" i="77"/>
  <c r="D133" i="77"/>
  <c r="B133" i="77"/>
  <c r="A133" i="77"/>
  <c r="C134" i="77"/>
  <c r="D134" i="77"/>
  <c r="B134" i="77"/>
  <c r="A134" i="77"/>
  <c r="C135" i="77"/>
  <c r="D135" i="77"/>
  <c r="B135" i="77"/>
  <c r="A135" i="77"/>
  <c r="C136" i="77"/>
  <c r="D136" i="77"/>
  <c r="B136" i="77"/>
  <c r="A136" i="77"/>
  <c r="B137" i="77"/>
  <c r="A137" i="77"/>
  <c r="C137" i="77"/>
  <c r="D137" i="77"/>
  <c r="B138" i="77"/>
  <c r="A138" i="77"/>
  <c r="C138" i="77"/>
  <c r="D138" i="77"/>
  <c r="B139" i="77"/>
  <c r="A139" i="77"/>
  <c r="C139" i="77"/>
  <c r="D139" i="77"/>
  <c r="C140" i="77"/>
  <c r="D140" i="77"/>
  <c r="B140" i="77"/>
  <c r="A140" i="77"/>
  <c r="C141" i="77"/>
  <c r="D141" i="77"/>
  <c r="B141" i="77"/>
  <c r="A141" i="77"/>
  <c r="C142" i="77"/>
  <c r="D142" i="77"/>
  <c r="B142" i="77"/>
  <c r="A142" i="77"/>
  <c r="C143" i="77"/>
  <c r="D143" i="77"/>
  <c r="B143" i="77"/>
  <c r="A143" i="77"/>
  <c r="C144" i="77"/>
  <c r="D144" i="77"/>
  <c r="B144" i="77"/>
  <c r="A144" i="77"/>
  <c r="C145" i="77"/>
  <c r="D145" i="77"/>
  <c r="B145" i="77"/>
  <c r="A145" i="77"/>
  <c r="C146" i="77"/>
  <c r="D146" i="77"/>
  <c r="B146" i="77"/>
  <c r="A146" i="77"/>
  <c r="C147" i="77"/>
  <c r="D147" i="77"/>
  <c r="B147" i="77"/>
  <c r="A147" i="77"/>
  <c r="C148" i="77"/>
  <c r="D148" i="77"/>
  <c r="B148" i="77"/>
  <c r="A148" i="77"/>
  <c r="B149" i="77"/>
  <c r="A149" i="77"/>
  <c r="C149" i="77"/>
  <c r="D149" i="77"/>
  <c r="B150" i="77"/>
  <c r="A150" i="77"/>
  <c r="C150" i="77"/>
  <c r="D150" i="77"/>
  <c r="B151" i="77"/>
  <c r="A151" i="77"/>
  <c r="C151" i="77"/>
  <c r="D151" i="77"/>
  <c r="C152" i="77"/>
  <c r="D152" i="77"/>
  <c r="B152" i="77"/>
  <c r="A152" i="77"/>
  <c r="C153" i="77"/>
  <c r="D153" i="77"/>
  <c r="B153" i="77"/>
  <c r="A153" i="77"/>
  <c r="C154" i="77"/>
  <c r="D154" i="77"/>
  <c r="B154" i="77"/>
  <c r="A154" i="77"/>
  <c r="C155" i="77"/>
  <c r="D155" i="77"/>
  <c r="B155" i="77"/>
  <c r="A155" i="77"/>
  <c r="C156" i="77"/>
  <c r="D156" i="77"/>
  <c r="B156" i="77"/>
  <c r="A156" i="77"/>
  <c r="C157" i="77"/>
  <c r="D157" i="77"/>
  <c r="B157" i="77"/>
  <c r="A157" i="77"/>
  <c r="C158" i="77"/>
  <c r="D158" i="77"/>
  <c r="B158" i="77"/>
  <c r="A158" i="77"/>
  <c r="C159" i="77"/>
  <c r="D159" i="77"/>
  <c r="B159" i="77"/>
  <c r="A159" i="77"/>
  <c r="C160" i="77"/>
  <c r="D160" i="77"/>
  <c r="B160" i="77"/>
  <c r="A160" i="77"/>
  <c r="B161" i="77"/>
  <c r="A161" i="77"/>
  <c r="C161" i="77"/>
  <c r="D161" i="77"/>
  <c r="B162" i="77"/>
  <c r="A162" i="77"/>
  <c r="C162" i="77"/>
  <c r="D162" i="77"/>
  <c r="B163" i="77"/>
  <c r="A163" i="77"/>
  <c r="C163" i="77"/>
  <c r="D163" i="77"/>
  <c r="C164" i="77"/>
  <c r="D164" i="77"/>
  <c r="B164" i="77"/>
  <c r="A164" i="77"/>
  <c r="C165" i="77"/>
  <c r="D165" i="77"/>
  <c r="B165" i="77"/>
  <c r="A165" i="77"/>
  <c r="C166" i="77"/>
  <c r="D166" i="77"/>
  <c r="B166" i="77"/>
  <c r="A166" i="77"/>
  <c r="C167" i="77"/>
  <c r="D167" i="77"/>
  <c r="B167" i="77"/>
  <c r="A167" i="77"/>
  <c r="C168" i="77"/>
  <c r="D168" i="77"/>
  <c r="B168" i="77"/>
  <c r="A168" i="77"/>
  <c r="C169" i="77"/>
  <c r="D169" i="77"/>
  <c r="B169" i="77"/>
  <c r="A169" i="77"/>
  <c r="C170" i="77"/>
  <c r="D170" i="77"/>
  <c r="B170" i="77"/>
  <c r="A170" i="77"/>
  <c r="C171" i="77"/>
  <c r="D171" i="77"/>
  <c r="B171" i="77"/>
  <c r="A171" i="77"/>
  <c r="C172" i="77"/>
  <c r="D172" i="77"/>
  <c r="B172" i="77"/>
  <c r="A172" i="77"/>
  <c r="B173" i="77"/>
  <c r="A173" i="77"/>
  <c r="C173" i="77"/>
  <c r="D173" i="77"/>
  <c r="B174" i="77"/>
  <c r="A174" i="77"/>
  <c r="C174" i="77"/>
  <c r="D174" i="77"/>
  <c r="B175" i="77"/>
  <c r="A175" i="77"/>
  <c r="C175" i="77"/>
  <c r="D175" i="77"/>
  <c r="A8" i="76"/>
  <c r="A9" i="76"/>
  <c r="A10" i="76"/>
  <c r="A11" i="76"/>
  <c r="A12" i="76"/>
  <c r="A13" i="76"/>
  <c r="A14" i="76"/>
  <c r="A15" i="76"/>
  <c r="A16" i="76"/>
  <c r="A17" i="76"/>
  <c r="A18" i="76"/>
  <c r="A19" i="76"/>
  <c r="A20" i="76"/>
  <c r="A21" i="76"/>
  <c r="A22" i="76"/>
  <c r="A23" i="76"/>
  <c r="A24" i="76"/>
  <c r="A25" i="76"/>
  <c r="A26" i="76"/>
  <c r="A27" i="76"/>
  <c r="A28" i="76"/>
  <c r="A29" i="76"/>
  <c r="A30" i="76"/>
  <c r="A31" i="76"/>
  <c r="A32" i="76"/>
  <c r="A33" i="76"/>
  <c r="A34" i="76"/>
  <c r="A35" i="76"/>
  <c r="A36" i="76"/>
  <c r="A37" i="76"/>
  <c r="A38" i="76"/>
  <c r="A39" i="76"/>
  <c r="A40" i="76"/>
  <c r="A41" i="76"/>
  <c r="A42" i="76"/>
  <c r="A43" i="76"/>
  <c r="A44" i="76"/>
  <c r="A45" i="76"/>
  <c r="A46" i="76"/>
  <c r="A47" i="76"/>
  <c r="A48" i="76"/>
  <c r="A49" i="76"/>
  <c r="A50" i="76"/>
  <c r="A51" i="76"/>
  <c r="A52" i="76"/>
  <c r="A53" i="76"/>
  <c r="A54" i="76"/>
  <c r="A55" i="76"/>
  <c r="A56" i="76"/>
  <c r="A57" i="76"/>
  <c r="A58" i="76"/>
  <c r="A59" i="76"/>
  <c r="A60" i="76"/>
  <c r="A61" i="76"/>
  <c r="A62" i="76"/>
  <c r="A63" i="76"/>
  <c r="A64" i="76"/>
  <c r="A65" i="76"/>
  <c r="A66" i="76"/>
  <c r="A67" i="76"/>
  <c r="A68" i="76"/>
  <c r="A69" i="76"/>
  <c r="A70" i="76"/>
  <c r="A71" i="76"/>
  <c r="A72" i="76"/>
  <c r="A73" i="76"/>
  <c r="A74" i="76"/>
  <c r="A75" i="76"/>
  <c r="A76" i="76"/>
  <c r="A77" i="76"/>
  <c r="A78" i="76"/>
  <c r="A79" i="76"/>
  <c r="A80" i="76"/>
  <c r="A81" i="76"/>
  <c r="A82" i="76"/>
  <c r="A83" i="76"/>
  <c r="A84" i="76"/>
  <c r="A85" i="76"/>
  <c r="A86" i="76"/>
  <c r="A87" i="76"/>
  <c r="A88" i="76"/>
  <c r="A89" i="76"/>
  <c r="A90" i="76"/>
  <c r="A91" i="76"/>
  <c r="A92" i="76"/>
  <c r="A93" i="76"/>
  <c r="A94" i="76"/>
  <c r="A95" i="76"/>
  <c r="A96" i="76"/>
  <c r="A97" i="76"/>
  <c r="A98" i="76"/>
  <c r="A99" i="76"/>
  <c r="A100" i="76"/>
  <c r="A101" i="76"/>
  <c r="A102" i="76"/>
  <c r="A103" i="76"/>
  <c r="A104" i="76"/>
  <c r="A105" i="76"/>
  <c r="A106" i="76"/>
  <c r="A107" i="76"/>
  <c r="A108" i="76"/>
  <c r="A109" i="76"/>
  <c r="A110" i="76"/>
  <c r="A111" i="76"/>
  <c r="A112" i="76"/>
  <c r="A113" i="76"/>
  <c r="A114" i="76"/>
  <c r="A115" i="76"/>
  <c r="A116" i="76"/>
  <c r="A117" i="76"/>
  <c r="A118" i="76"/>
  <c r="A119" i="76"/>
  <c r="A120" i="76"/>
  <c r="A121" i="76"/>
  <c r="A122" i="76"/>
  <c r="A123" i="76"/>
  <c r="A124" i="76"/>
  <c r="A125" i="76"/>
  <c r="A126" i="76"/>
  <c r="A127" i="76"/>
  <c r="A128" i="76"/>
  <c r="A129" i="76"/>
  <c r="A130" i="76"/>
  <c r="A131" i="76"/>
  <c r="A132" i="76"/>
  <c r="A133" i="76"/>
  <c r="A134" i="76"/>
  <c r="A135" i="76"/>
  <c r="A136" i="76"/>
  <c r="A137" i="76"/>
  <c r="A138" i="76"/>
  <c r="A139" i="76"/>
  <c r="A140" i="76"/>
  <c r="A141" i="76"/>
  <c r="A142" i="76"/>
  <c r="A143" i="76"/>
  <c r="A144" i="76"/>
  <c r="A145" i="76"/>
  <c r="A146" i="76"/>
  <c r="A147" i="76"/>
  <c r="A148" i="76"/>
  <c r="A149" i="76"/>
  <c r="A150" i="76"/>
  <c r="A151" i="76"/>
  <c r="A152" i="76"/>
  <c r="A153" i="76"/>
  <c r="A154" i="76"/>
  <c r="A155" i="76"/>
  <c r="A156" i="76"/>
  <c r="A157" i="76"/>
  <c r="A158" i="76"/>
  <c r="A159" i="76"/>
  <c r="A160" i="76"/>
  <c r="A161" i="76"/>
  <c r="A162" i="76"/>
  <c r="A163" i="76"/>
  <c r="A164" i="76"/>
  <c r="A165" i="76"/>
  <c r="A166" i="76"/>
  <c r="A167" i="76"/>
  <c r="A168" i="76"/>
  <c r="A169" i="76"/>
  <c r="A170" i="76"/>
  <c r="A171" i="76"/>
  <c r="A172" i="76"/>
  <c r="A173" i="76"/>
  <c r="A174" i="76"/>
  <c r="A175" i="76"/>
  <c r="T2" i="75"/>
  <c r="U2" i="75"/>
  <c r="T3" i="75"/>
  <c r="U3" i="75"/>
  <c r="T4" i="75"/>
  <c r="U4" i="75"/>
  <c r="T5" i="75"/>
  <c r="U5" i="75"/>
  <c r="T6" i="75"/>
  <c r="U6" i="75"/>
  <c r="T7" i="75"/>
  <c r="U7" i="75"/>
  <c r="T8" i="75"/>
  <c r="U8" i="75"/>
  <c r="T9" i="75"/>
  <c r="U9" i="75"/>
  <c r="T10" i="75"/>
  <c r="U10" i="75"/>
  <c r="T11" i="75"/>
  <c r="U11" i="75"/>
  <c r="S26" i="73"/>
  <c r="S27" i="73"/>
  <c r="AA27" i="73" a="1"/>
  <c r="AA27" i="73"/>
  <c r="AC27" i="73" a="1"/>
  <c r="AC27" i="73" s="1"/>
  <c r="S29" i="73"/>
  <c r="S31" i="73"/>
  <c r="S32" i="73"/>
  <c r="S33" i="73"/>
  <c r="S34" i="73"/>
  <c r="S35" i="73"/>
  <c r="S36" i="73"/>
  <c r="S37" i="73"/>
  <c r="S43" i="73"/>
  <c r="S39" i="73"/>
  <c r="S41" i="73"/>
  <c r="S42" i="73"/>
  <c r="S44" i="73"/>
  <c r="S45" i="73"/>
  <c r="S52" i="73"/>
  <c r="S46" i="73"/>
  <c r="S48" i="73"/>
  <c r="S50" i="73"/>
  <c r="S51" i="73"/>
  <c r="S53" i="73"/>
  <c r="S54" i="73"/>
  <c r="S55" i="73"/>
  <c r="V41" i="73" a="1"/>
  <c r="V41" i="73"/>
  <c r="AA41" i="73" a="1"/>
  <c r="AA41" i="73" s="1"/>
  <c r="AC41" i="73" a="1"/>
  <c r="AC41" i="73"/>
  <c r="AE41" i="73" a="1"/>
  <c r="AE41" i="73" s="1"/>
  <c r="S56" i="73"/>
  <c r="AD42" i="73" a="1"/>
  <c r="AD42" i="73" s="1"/>
  <c r="S57" i="73"/>
  <c r="S59" i="73"/>
  <c r="S61" i="73"/>
  <c r="S62" i="73"/>
  <c r="S63" i="73"/>
  <c r="S64" i="73"/>
  <c r="S65" i="73"/>
  <c r="S66" i="73"/>
  <c r="S68" i="73"/>
  <c r="S69" i="73"/>
  <c r="S70" i="73"/>
  <c r="S72" i="73"/>
  <c r="S73" i="73"/>
  <c r="S74" i="73"/>
  <c r="S75" i="73"/>
  <c r="S76" i="73"/>
  <c r="S78" i="73"/>
  <c r="S80" i="73"/>
  <c r="S81" i="73"/>
  <c r="S82" i="73"/>
  <c r="S83" i="73"/>
  <c r="S84" i="73"/>
  <c r="S85" i="73"/>
  <c r="S86" i="73"/>
  <c r="S87" i="73"/>
  <c r="S90" i="73"/>
  <c r="S91" i="73"/>
  <c r="S92" i="73"/>
  <c r="S93" i="73"/>
  <c r="S94" i="73"/>
  <c r="S95" i="73"/>
  <c r="S96" i="73"/>
  <c r="S97" i="73"/>
  <c r="S98" i="73"/>
  <c r="S101" i="73"/>
  <c r="S102" i="73"/>
  <c r="S103" i="73"/>
  <c r="S104" i="73"/>
  <c r="S105" i="73"/>
  <c r="S106" i="73"/>
  <c r="S107" i="73"/>
  <c r="S108" i="73"/>
  <c r="S110" i="73"/>
  <c r="S112" i="73"/>
  <c r="S113" i="73"/>
  <c r="S114" i="73"/>
  <c r="S115" i="73"/>
  <c r="S116" i="73"/>
  <c r="S118" i="73"/>
  <c r="S119" i="73"/>
  <c r="S121" i="73"/>
  <c r="S122" i="73"/>
  <c r="S123" i="73"/>
  <c r="S124" i="73"/>
  <c r="S125" i="73"/>
  <c r="Y40" i="72" a="1"/>
  <c r="Y40" i="72"/>
  <c r="H119" i="72"/>
  <c r="L131" i="72"/>
  <c r="H132" i="72"/>
  <c r="F133" i="72"/>
  <c r="L125" i="72"/>
  <c r="Z40" i="72" a="1"/>
  <c r="Z40" i="72" s="1"/>
  <c r="F106" i="72"/>
  <c r="G106" i="72"/>
  <c r="H106" i="72"/>
  <c r="I106" i="72"/>
  <c r="J106" i="72"/>
  <c r="K106" i="72"/>
  <c r="L106" i="72"/>
  <c r="M106" i="72"/>
  <c r="F107" i="72"/>
  <c r="G107" i="72"/>
  <c r="H107" i="72"/>
  <c r="I107" i="72"/>
  <c r="J107" i="72"/>
  <c r="K107" i="72"/>
  <c r="L107" i="72"/>
  <c r="M107" i="72"/>
  <c r="F108" i="72"/>
  <c r="G108" i="72"/>
  <c r="H108" i="72"/>
  <c r="I108" i="72"/>
  <c r="Q108" i="72"/>
  <c r="J108" i="72"/>
  <c r="K108" i="72"/>
  <c r="L108" i="72"/>
  <c r="M108" i="72"/>
  <c r="R108" i="72"/>
  <c r="S108" i="72"/>
  <c r="F109" i="72"/>
  <c r="G109" i="72"/>
  <c r="H109" i="72"/>
  <c r="I109" i="72"/>
  <c r="Q109" i="72"/>
  <c r="J109" i="72"/>
  <c r="K109" i="72"/>
  <c r="L109" i="72"/>
  <c r="M109" i="72"/>
  <c r="R109" i="72"/>
  <c r="S109" i="72"/>
  <c r="F110" i="72"/>
  <c r="G110" i="72"/>
  <c r="H110" i="72"/>
  <c r="I110" i="72"/>
  <c r="J110" i="72"/>
  <c r="K110" i="72"/>
  <c r="L110" i="72"/>
  <c r="M110" i="72"/>
  <c r="R110" i="72"/>
  <c r="S110" i="72"/>
  <c r="F111" i="72"/>
  <c r="G111" i="72"/>
  <c r="H111" i="72"/>
  <c r="I111" i="72"/>
  <c r="Q111" i="72"/>
  <c r="J111" i="72"/>
  <c r="K111" i="72"/>
  <c r="L111" i="72"/>
  <c r="M111" i="72"/>
  <c r="F112" i="72"/>
  <c r="G112" i="72"/>
  <c r="H112" i="72"/>
  <c r="I112" i="72"/>
  <c r="Q112" i="72"/>
  <c r="J112" i="72"/>
  <c r="K112" i="72"/>
  <c r="L112" i="72"/>
  <c r="M112" i="72"/>
  <c r="F113" i="72"/>
  <c r="G113" i="72"/>
  <c r="H113" i="72"/>
  <c r="I113" i="72"/>
  <c r="J113" i="72"/>
  <c r="K113" i="72"/>
  <c r="L113" i="72"/>
  <c r="M113" i="72"/>
  <c r="R113" i="72"/>
  <c r="S113" i="72"/>
  <c r="F114" i="72"/>
  <c r="G114" i="72"/>
  <c r="H114" i="72"/>
  <c r="I114" i="72"/>
  <c r="J114" i="72"/>
  <c r="K114" i="72"/>
  <c r="L114" i="72"/>
  <c r="M114" i="72"/>
  <c r="R114" i="72"/>
  <c r="S114" i="72"/>
  <c r="F115" i="72"/>
  <c r="G115" i="72"/>
  <c r="H115" i="72"/>
  <c r="I115" i="72"/>
  <c r="J115" i="72"/>
  <c r="K115" i="72"/>
  <c r="L115" i="72"/>
  <c r="M115" i="72"/>
  <c r="C28" i="71"/>
  <c r="D28" i="71"/>
  <c r="E28" i="71"/>
  <c r="C29" i="71"/>
  <c r="D29" i="71"/>
  <c r="E29" i="71"/>
  <c r="C30" i="71"/>
  <c r="D30" i="71"/>
  <c r="E30" i="71"/>
  <c r="C31" i="71"/>
  <c r="D31" i="71"/>
  <c r="E31" i="71"/>
  <c r="C32" i="71"/>
  <c r="D32" i="71"/>
  <c r="E32" i="71"/>
  <c r="C33" i="71"/>
  <c r="D33" i="71"/>
  <c r="E33" i="71"/>
  <c r="C34" i="71"/>
  <c r="D34" i="71"/>
  <c r="E34" i="71"/>
  <c r="C35" i="71"/>
  <c r="D35" i="71"/>
  <c r="E35" i="71"/>
  <c r="C36" i="71"/>
  <c r="D36" i="71"/>
  <c r="E36" i="71"/>
  <c r="C37" i="71"/>
  <c r="D37" i="71"/>
  <c r="E37" i="71"/>
  <c r="AA28" i="73" a="1"/>
  <c r="AA28" i="73" s="1"/>
  <c r="AA49" i="73" a="1"/>
  <c r="AA49" i="73" s="1"/>
  <c r="F36" i="71"/>
  <c r="F34" i="71"/>
  <c r="K34" i="74"/>
  <c r="Y36" i="73" a="1"/>
  <c r="Y36" i="73" s="1"/>
  <c r="AB35" i="73" a="1"/>
  <c r="AB35" i="73" s="1"/>
  <c r="AC32" i="73" a="1"/>
  <c r="AC32" i="73" s="1"/>
  <c r="AD29" i="73" a="1"/>
  <c r="AD29" i="73" s="1"/>
  <c r="AF46" i="73" a="1"/>
  <c r="AF46" i="73" s="1"/>
  <c r="X33" i="73" a="1"/>
  <c r="X33" i="73" s="1"/>
  <c r="AB48" i="73" a="1"/>
  <c r="AB48" i="73" s="1"/>
  <c r="AD44" i="73" a="1"/>
  <c r="AD44" i="73" s="1"/>
  <c r="V31" i="73" a="1"/>
  <c r="V31" i="73" s="1"/>
  <c r="AF49" i="73" a="1"/>
  <c r="AF49" i="73" s="1"/>
  <c r="AC34" i="73" a="1"/>
  <c r="AC34" i="73" s="1"/>
  <c r="Y27" i="73" a="1"/>
  <c r="Y27" i="73" s="1"/>
  <c r="AA32" i="73" a="1"/>
  <c r="AA32" i="73" s="1"/>
  <c r="AC47" i="73" a="1"/>
  <c r="AC47" i="73" s="1"/>
  <c r="W48" i="73" a="1"/>
  <c r="W48" i="73" s="1"/>
  <c r="V33" i="73" a="1"/>
  <c r="V33" i="73" s="1"/>
  <c r="AA48" i="73" a="1"/>
  <c r="AA48" i="73" s="1"/>
  <c r="W45" i="73" a="1"/>
  <c r="W45" i="73" s="1"/>
  <c r="AF45" i="73" a="1"/>
  <c r="AF45" i="73" s="1"/>
  <c r="V30" i="73" a="1"/>
  <c r="V30" i="73" s="1"/>
  <c r="AD30" i="73" a="1"/>
  <c r="AD30" i="73" s="1"/>
  <c r="V27" i="73" a="1"/>
  <c r="V27" i="73" s="1"/>
  <c r="V35" i="73" a="1"/>
  <c r="V35" i="73" s="1"/>
  <c r="AD27" i="73" a="1"/>
  <c r="AD27" i="73" s="1"/>
  <c r="AE32" i="73" a="1"/>
  <c r="AE32" i="73" s="1"/>
  <c r="AB30" i="73" a="1"/>
  <c r="AB30" i="73" s="1"/>
  <c r="M118" i="72"/>
  <c r="W35" i="72" a="1"/>
  <c r="W35" i="72"/>
  <c r="X27" i="72" a="1"/>
  <c r="X27" i="72" s="1"/>
  <c r="W27" i="72" a="1"/>
  <c r="W27" i="72" s="1"/>
  <c r="Y28" i="72" a="1"/>
  <c r="Y28" i="72" s="1"/>
  <c r="F33" i="71"/>
  <c r="K28" i="74"/>
  <c r="K30" i="74"/>
  <c r="K33" i="74"/>
  <c r="K27" i="74"/>
  <c r="K31" i="74"/>
  <c r="K29" i="74"/>
  <c r="K32" i="74"/>
  <c r="F29" i="71"/>
  <c r="K25" i="74"/>
  <c r="K26" i="74"/>
  <c r="F28" i="71"/>
  <c r="F31" i="71"/>
  <c r="F37" i="71"/>
  <c r="F35" i="71"/>
  <c r="F32" i="71"/>
  <c r="F30" i="71"/>
  <c r="A1" i="70"/>
  <c r="S23" i="70"/>
  <c r="O24" i="70"/>
  <c r="P24" i="70"/>
  <c r="D16" i="69"/>
  <c r="F16" i="69"/>
  <c r="H16" i="69"/>
  <c r="J16" i="69"/>
  <c r="L16" i="69"/>
  <c r="N16" i="69"/>
  <c r="P16" i="69"/>
  <c r="R16" i="69"/>
  <c r="T16" i="69"/>
  <c r="V16" i="69"/>
  <c r="X16" i="69"/>
  <c r="Z16" i="69"/>
  <c r="AB16" i="69"/>
  <c r="AD16" i="69"/>
  <c r="AF16" i="69"/>
  <c r="AH16" i="69"/>
  <c r="AJ16" i="69"/>
  <c r="AL16" i="69"/>
  <c r="AN16" i="69"/>
  <c r="AP16" i="69"/>
  <c r="AR16" i="69"/>
  <c r="AT16" i="69"/>
  <c r="AV16" i="69"/>
  <c r="AX16" i="69"/>
  <c r="AZ16" i="69"/>
  <c r="BB16" i="69"/>
  <c r="BD16" i="69"/>
  <c r="BF16" i="69"/>
  <c r="BH16" i="69"/>
  <c r="BJ16" i="69"/>
  <c r="BL16" i="69"/>
  <c r="BN16" i="69"/>
  <c r="BP16" i="69"/>
  <c r="BR16" i="69"/>
  <c r="BT16" i="69"/>
  <c r="BV16" i="69"/>
  <c r="BX16" i="69"/>
  <c r="BZ16" i="69"/>
  <c r="CB16" i="69"/>
  <c r="CD16" i="69"/>
  <c r="CF16" i="69"/>
  <c r="CH16" i="69"/>
  <c r="CJ16" i="69"/>
  <c r="CL16" i="69"/>
  <c r="CN16" i="69"/>
  <c r="CO16" i="69"/>
  <c r="CP16" i="69"/>
  <c r="R16" i="68"/>
  <c r="S16" i="68"/>
  <c r="Z16" i="68"/>
  <c r="AA16" i="68"/>
  <c r="AB16" i="68"/>
  <c r="AC16" i="68"/>
  <c r="AD16" i="68"/>
  <c r="R17" i="68"/>
  <c r="S17" i="68"/>
  <c r="Z17" i="68"/>
  <c r="AA17" i="68"/>
  <c r="AB17" i="68"/>
  <c r="AC17" i="68"/>
  <c r="AD17" i="68"/>
  <c r="R18" i="68"/>
  <c r="S18" i="68"/>
  <c r="Z18" i="68"/>
  <c r="AA18" i="68"/>
  <c r="AB18" i="68"/>
  <c r="AC18" i="68"/>
  <c r="AD18" i="68"/>
  <c r="R19" i="68"/>
  <c r="S19" i="68"/>
  <c r="Z19" i="68"/>
  <c r="AA19" i="68"/>
  <c r="AB19" i="68"/>
  <c r="AC19" i="68"/>
  <c r="AD19" i="68"/>
  <c r="R20" i="68"/>
  <c r="S20" i="68"/>
  <c r="Z20" i="68"/>
  <c r="AA20" i="68"/>
  <c r="AB20" i="68"/>
  <c r="AC20" i="68"/>
  <c r="AD20" i="68"/>
  <c r="R21" i="68"/>
  <c r="S21" i="68"/>
  <c r="Z21" i="68"/>
  <c r="AA21" i="68"/>
  <c r="AB21" i="68"/>
  <c r="AC21" i="68"/>
  <c r="AD21" i="68"/>
  <c r="R22" i="68"/>
  <c r="S22" i="68"/>
  <c r="Z22" i="68"/>
  <c r="AA22" i="68"/>
  <c r="AB22" i="68"/>
  <c r="AC22" i="68"/>
  <c r="AD22" i="68"/>
  <c r="R23" i="68"/>
  <c r="S23" i="68"/>
  <c r="Z23" i="68"/>
  <c r="AA23" i="68"/>
  <c r="AB23" i="68"/>
  <c r="AC23" i="68"/>
  <c r="AD23" i="68"/>
  <c r="R24" i="68"/>
  <c r="S24" i="68"/>
  <c r="Z24" i="68"/>
  <c r="AA24" i="68"/>
  <c r="AB24" i="68"/>
  <c r="AC24" i="68"/>
  <c r="AD24" i="68"/>
  <c r="R25" i="68"/>
  <c r="S25" i="68"/>
  <c r="Z25" i="68"/>
  <c r="AA25" i="68"/>
  <c r="AB25" i="68"/>
  <c r="AC25" i="68"/>
  <c r="AD25" i="68"/>
  <c r="R26" i="68"/>
  <c r="S26" i="68"/>
  <c r="Z26" i="68"/>
  <c r="AA26" i="68"/>
  <c r="AB26" i="68"/>
  <c r="AC26" i="68"/>
  <c r="AD26" i="68"/>
  <c r="R27" i="68"/>
  <c r="S27" i="68"/>
  <c r="Z27" i="68"/>
  <c r="AA27" i="68"/>
  <c r="AB27" i="68"/>
  <c r="AC27" i="68"/>
  <c r="AD27" i="68"/>
  <c r="R28" i="68"/>
  <c r="S28" i="68"/>
  <c r="Z28" i="68"/>
  <c r="AA28" i="68"/>
  <c r="AB28" i="68"/>
  <c r="AC28" i="68"/>
  <c r="AD28" i="68"/>
  <c r="R29" i="68"/>
  <c r="S29" i="68"/>
  <c r="Z29" i="68"/>
  <c r="AA29" i="68"/>
  <c r="AB29" i="68"/>
  <c r="AC29" i="68"/>
  <c r="AD29" i="68"/>
  <c r="R30" i="68"/>
  <c r="S30" i="68"/>
  <c r="Z30" i="68"/>
  <c r="AA30" i="68"/>
  <c r="AB30" i="68"/>
  <c r="AC30" i="68"/>
  <c r="AD30" i="68"/>
  <c r="R31" i="68"/>
  <c r="S31" i="68"/>
  <c r="Z31" i="68"/>
  <c r="AA31" i="68"/>
  <c r="AB31" i="68"/>
  <c r="AC31" i="68"/>
  <c r="AD31" i="68"/>
  <c r="R32" i="68"/>
  <c r="S32" i="68"/>
  <c r="Z32" i="68"/>
  <c r="AA32" i="68"/>
  <c r="AB32" i="68"/>
  <c r="AC32" i="68"/>
  <c r="AD32" i="68"/>
  <c r="R33" i="68"/>
  <c r="S33" i="68"/>
  <c r="Z33" i="68"/>
  <c r="AA33" i="68"/>
  <c r="AB33" i="68"/>
  <c r="AC33" i="68"/>
  <c r="AD33" i="68"/>
  <c r="R34" i="68"/>
  <c r="S34" i="68"/>
  <c r="Z34" i="68"/>
  <c r="AA34" i="68"/>
  <c r="AB34" i="68"/>
  <c r="AC34" i="68"/>
  <c r="AD34" i="68"/>
  <c r="R35" i="68"/>
  <c r="S35" i="68"/>
  <c r="Z35" i="68"/>
  <c r="AA35" i="68"/>
  <c r="AB35" i="68"/>
  <c r="AC35" i="68"/>
  <c r="AD35" i="68"/>
  <c r="R36" i="68"/>
  <c r="S36" i="68"/>
  <c r="Z36" i="68"/>
  <c r="AA36" i="68"/>
  <c r="AB36" i="68"/>
  <c r="AC36" i="68"/>
  <c r="AD36" i="68"/>
  <c r="R37" i="68"/>
  <c r="S37" i="68"/>
  <c r="Z37" i="68"/>
  <c r="AA37" i="68"/>
  <c r="AB37" i="68"/>
  <c r="AC37" i="68"/>
  <c r="AD37" i="68"/>
  <c r="R38" i="68"/>
  <c r="S38" i="68"/>
  <c r="Z38" i="68"/>
  <c r="AA38" i="68"/>
  <c r="AB38" i="68"/>
  <c r="AC38" i="68"/>
  <c r="AD38" i="68"/>
  <c r="R39" i="68"/>
  <c r="S39" i="68"/>
  <c r="Z39" i="68"/>
  <c r="AA39" i="68"/>
  <c r="AB39" i="68"/>
  <c r="AC39" i="68"/>
  <c r="AD39" i="68"/>
  <c r="R40" i="68"/>
  <c r="S40" i="68"/>
  <c r="Z40" i="68"/>
  <c r="AA40" i="68"/>
  <c r="AB40" i="68"/>
  <c r="AC40" i="68"/>
  <c r="AD40" i="68"/>
  <c r="R41" i="68"/>
  <c r="S41" i="68"/>
  <c r="Z41" i="68"/>
  <c r="AA41" i="68"/>
  <c r="AB41" i="68"/>
  <c r="AC41" i="68"/>
  <c r="AD41" i="68"/>
  <c r="R42" i="68"/>
  <c r="S42" i="68"/>
  <c r="Z42" i="68"/>
  <c r="AA42" i="68"/>
  <c r="AB42" i="68"/>
  <c r="AC42" i="68"/>
  <c r="AD42" i="68"/>
  <c r="R43" i="68"/>
  <c r="S43" i="68"/>
  <c r="Z43" i="68"/>
  <c r="AA43" i="68"/>
  <c r="AB43" i="68"/>
  <c r="AC43" i="68"/>
  <c r="AD43" i="68"/>
  <c r="R44" i="68"/>
  <c r="S44" i="68"/>
  <c r="Z44" i="68"/>
  <c r="AA44" i="68"/>
  <c r="AB44" i="68"/>
  <c r="AC44" i="68"/>
  <c r="AD44" i="68"/>
  <c r="R45" i="68"/>
  <c r="S45" i="68"/>
  <c r="Z45" i="68"/>
  <c r="AA45" i="68"/>
  <c r="AB45" i="68"/>
  <c r="AC45" i="68"/>
  <c r="AD45" i="68"/>
  <c r="R46" i="68"/>
  <c r="S46" i="68"/>
  <c r="Z46" i="68"/>
  <c r="AA46" i="68"/>
  <c r="AB46" i="68"/>
  <c r="AC46" i="68"/>
  <c r="AD46" i="68"/>
  <c r="R47" i="68"/>
  <c r="S47" i="68"/>
  <c r="Z47" i="68"/>
  <c r="AA47" i="68"/>
  <c r="AB47" i="68"/>
  <c r="AC47" i="68"/>
  <c r="AD47" i="68"/>
  <c r="R48" i="68"/>
  <c r="S48" i="68"/>
  <c r="Z48" i="68"/>
  <c r="AA48" i="68"/>
  <c r="AB48" i="68"/>
  <c r="AC48" i="68"/>
  <c r="AD48" i="68"/>
  <c r="R49" i="68"/>
  <c r="S49" i="68"/>
  <c r="Z49" i="68"/>
  <c r="AA49" i="68"/>
  <c r="AB49" i="68"/>
  <c r="AC49" i="68"/>
  <c r="AD49" i="68"/>
  <c r="R50" i="68"/>
  <c r="S50" i="68"/>
  <c r="Z50" i="68"/>
  <c r="AA50" i="68"/>
  <c r="AB50" i="68"/>
  <c r="AC50" i="68"/>
  <c r="AD50" i="68"/>
  <c r="R51" i="68"/>
  <c r="S51" i="68"/>
  <c r="Z51" i="68"/>
  <c r="AA51" i="68"/>
  <c r="AB51" i="68"/>
  <c r="AC51" i="68"/>
  <c r="AD51" i="68"/>
  <c r="R52" i="68"/>
  <c r="S52" i="68"/>
  <c r="Z52" i="68"/>
  <c r="AA52" i="68"/>
  <c r="AB52" i="68"/>
  <c r="AC52" i="68"/>
  <c r="AD52" i="68"/>
  <c r="R53" i="68"/>
  <c r="S53" i="68"/>
  <c r="Z53" i="68"/>
  <c r="AA53" i="68"/>
  <c r="AB53" i="68"/>
  <c r="AC53" i="68"/>
  <c r="AD53" i="68"/>
  <c r="R54" i="68"/>
  <c r="S54" i="68"/>
  <c r="Z54" i="68"/>
  <c r="AA54" i="68"/>
  <c r="AB54" i="68"/>
  <c r="AC54" i="68"/>
  <c r="AD54" i="68"/>
  <c r="R55" i="68"/>
  <c r="S55" i="68"/>
  <c r="Z55" i="68"/>
  <c r="AA55" i="68"/>
  <c r="AB55" i="68"/>
  <c r="AC55" i="68"/>
  <c r="AD55" i="68"/>
  <c r="R56" i="68"/>
  <c r="S56" i="68"/>
  <c r="Z56" i="68"/>
  <c r="AA56" i="68"/>
  <c r="AB56" i="68"/>
  <c r="AC56" i="68"/>
  <c r="AD56" i="68"/>
  <c r="R57" i="68"/>
  <c r="S57" i="68"/>
  <c r="Z57" i="68"/>
  <c r="AA57" i="68"/>
  <c r="AB57" i="68"/>
  <c r="AC57" i="68"/>
  <c r="AD57" i="68"/>
  <c r="R58" i="68"/>
  <c r="S58" i="68"/>
  <c r="Z58" i="68"/>
  <c r="AA58" i="68"/>
  <c r="AB58" i="68"/>
  <c r="AC58" i="68"/>
  <c r="AD58" i="68"/>
  <c r="R59" i="68"/>
  <c r="S59" i="68"/>
  <c r="Z59" i="68"/>
  <c r="AA59" i="68"/>
  <c r="AB59" i="68"/>
  <c r="AC59" i="68"/>
  <c r="AD59" i="68"/>
  <c r="R60" i="68"/>
  <c r="S60" i="68"/>
  <c r="Z60" i="68"/>
  <c r="AA60" i="68"/>
  <c r="AB60" i="68"/>
  <c r="AC60" i="68"/>
  <c r="AD60" i="68"/>
  <c r="R61" i="68"/>
  <c r="S61" i="68"/>
  <c r="Z61" i="68"/>
  <c r="AA61" i="68"/>
  <c r="AB61" i="68"/>
  <c r="AC61" i="68"/>
  <c r="AD61" i="68"/>
  <c r="R62" i="68"/>
  <c r="S62" i="68"/>
  <c r="Z62" i="68"/>
  <c r="AA62" i="68"/>
  <c r="AB62" i="68"/>
  <c r="AC62" i="68"/>
  <c r="AD62" i="68"/>
  <c r="R63" i="68"/>
  <c r="S63" i="68"/>
  <c r="Z63" i="68"/>
  <c r="AA63" i="68"/>
  <c r="AB63" i="68"/>
  <c r="AC63" i="68"/>
  <c r="AD63" i="68"/>
  <c r="R64" i="68"/>
  <c r="S64" i="68"/>
  <c r="Z64" i="68"/>
  <c r="AA64" i="68"/>
  <c r="AB64" i="68"/>
  <c r="AC64" i="68"/>
  <c r="AD64" i="68"/>
  <c r="R65" i="68"/>
  <c r="S65" i="68"/>
  <c r="Z65" i="68"/>
  <c r="AA65" i="68"/>
  <c r="AB65" i="68"/>
  <c r="AC65" i="68"/>
  <c r="AD65" i="68"/>
  <c r="R66" i="68"/>
  <c r="S66" i="68"/>
  <c r="Z66" i="68"/>
  <c r="AA66" i="68"/>
  <c r="AB66" i="68"/>
  <c r="AC66" i="68"/>
  <c r="AD66" i="68"/>
  <c r="R67" i="68"/>
  <c r="S67" i="68"/>
  <c r="Z67" i="68"/>
  <c r="AA67" i="68"/>
  <c r="AB67" i="68"/>
  <c r="AC67" i="68"/>
  <c r="AD67" i="68"/>
  <c r="R68" i="68"/>
  <c r="S68" i="68"/>
  <c r="Z68" i="68"/>
  <c r="AA68" i="68"/>
  <c r="AB68" i="68"/>
  <c r="AC68" i="68"/>
  <c r="AD68" i="68"/>
  <c r="R69" i="68"/>
  <c r="S69" i="68"/>
  <c r="Z69" i="68"/>
  <c r="AA69" i="68"/>
  <c r="AB69" i="68"/>
  <c r="AC69" i="68"/>
  <c r="AD69" i="68"/>
  <c r="R70" i="68"/>
  <c r="S70" i="68"/>
  <c r="Z70" i="68"/>
  <c r="AA70" i="68"/>
  <c r="AB70" i="68"/>
  <c r="AC70" i="68"/>
  <c r="AD70" i="68"/>
  <c r="R71" i="68"/>
  <c r="S71" i="68"/>
  <c r="Z71" i="68"/>
  <c r="AA71" i="68"/>
  <c r="AB71" i="68"/>
  <c r="AC71" i="68"/>
  <c r="AD71" i="68"/>
  <c r="R72" i="68"/>
  <c r="S72" i="68"/>
  <c r="Z72" i="68"/>
  <c r="AA72" i="68"/>
  <c r="AB72" i="68"/>
  <c r="AC72" i="68"/>
  <c r="AD72" i="68"/>
  <c r="R73" i="68"/>
  <c r="S73" i="68"/>
  <c r="Z73" i="68"/>
  <c r="AA73" i="68"/>
  <c r="AB73" i="68"/>
  <c r="AC73" i="68"/>
  <c r="AD73" i="68"/>
  <c r="R74" i="68"/>
  <c r="S74" i="68"/>
  <c r="Z74" i="68"/>
  <c r="AA74" i="68"/>
  <c r="AB74" i="68"/>
  <c r="AC74" i="68"/>
  <c r="AD74" i="68"/>
  <c r="R75" i="68"/>
  <c r="S75" i="68"/>
  <c r="Z75" i="68"/>
  <c r="AA75" i="68"/>
  <c r="AB75" i="68"/>
  <c r="AC75" i="68"/>
  <c r="AD75" i="68"/>
  <c r="R76" i="68"/>
  <c r="S76" i="68"/>
  <c r="Z76" i="68"/>
  <c r="AA76" i="68"/>
  <c r="AB76" i="68"/>
  <c r="AC76" i="68"/>
  <c r="AD76" i="68"/>
  <c r="R77" i="68"/>
  <c r="S77" i="68"/>
  <c r="Z77" i="68"/>
  <c r="AA77" i="68"/>
  <c r="AB77" i="68"/>
  <c r="AC77" i="68"/>
  <c r="AD77" i="68"/>
  <c r="R78" i="68"/>
  <c r="S78" i="68"/>
  <c r="Z78" i="68"/>
  <c r="AA78" i="68"/>
  <c r="AB78" i="68"/>
  <c r="AC78" i="68"/>
  <c r="AD78" i="68"/>
  <c r="R79" i="68"/>
  <c r="S79" i="68"/>
  <c r="Z79" i="68"/>
  <c r="AA79" i="68"/>
  <c r="AB79" i="68"/>
  <c r="AC79" i="68"/>
  <c r="AD79" i="68"/>
  <c r="R80" i="68"/>
  <c r="S80" i="68"/>
  <c r="Z80" i="68"/>
  <c r="AA80" i="68"/>
  <c r="AB80" i="68"/>
  <c r="AC80" i="68"/>
  <c r="AD80" i="68"/>
  <c r="R81" i="68"/>
  <c r="S81" i="68"/>
  <c r="Z81" i="68"/>
  <c r="AA81" i="68"/>
  <c r="AB81" i="68"/>
  <c r="AC81" i="68"/>
  <c r="AD81" i="68"/>
  <c r="R82" i="68"/>
  <c r="S82" i="68"/>
  <c r="Z82" i="68"/>
  <c r="AA82" i="68"/>
  <c r="AB82" i="68"/>
  <c r="AC82" i="68"/>
  <c r="AD82" i="68"/>
  <c r="R83" i="68"/>
  <c r="S83" i="68"/>
  <c r="Z83" i="68"/>
  <c r="AA83" i="68"/>
  <c r="AB83" i="68"/>
  <c r="AC83" i="68"/>
  <c r="AD83" i="68"/>
  <c r="R84" i="68"/>
  <c r="S84" i="68"/>
  <c r="Z84" i="68"/>
  <c r="AA84" i="68"/>
  <c r="AB84" i="68"/>
  <c r="AC84" i="68"/>
  <c r="AD84" i="68"/>
  <c r="R85" i="68"/>
  <c r="S85" i="68"/>
  <c r="Z85" i="68"/>
  <c r="AA85" i="68"/>
  <c r="AB85" i="68"/>
  <c r="AC85" i="68"/>
  <c r="AD85" i="68"/>
  <c r="R86" i="68"/>
  <c r="S86" i="68"/>
  <c r="Z86" i="68"/>
  <c r="AA86" i="68"/>
  <c r="AB86" i="68"/>
  <c r="AC86" i="68"/>
  <c r="AD86" i="68"/>
  <c r="R87" i="68"/>
  <c r="S87" i="68"/>
  <c r="Z87" i="68"/>
  <c r="AA87" i="68"/>
  <c r="AB87" i="68"/>
  <c r="AC87" i="68"/>
  <c r="AD87" i="68"/>
  <c r="R88" i="68"/>
  <c r="S88" i="68"/>
  <c r="Z88" i="68"/>
  <c r="AA88" i="68"/>
  <c r="AB88" i="68"/>
  <c r="AC88" i="68"/>
  <c r="AD88" i="68"/>
  <c r="R89" i="68"/>
  <c r="S89" i="68"/>
  <c r="Z89" i="68"/>
  <c r="AA89" i="68"/>
  <c r="AB89" i="68"/>
  <c r="AC89" i="68"/>
  <c r="AD89" i="68"/>
  <c r="R90" i="68"/>
  <c r="S90" i="68"/>
  <c r="Z90" i="68"/>
  <c r="AA90" i="68"/>
  <c r="AB90" i="68"/>
  <c r="AC90" i="68"/>
  <c r="AD90" i="68"/>
  <c r="R91" i="68"/>
  <c r="S91" i="68"/>
  <c r="Z91" i="68"/>
  <c r="AA91" i="68"/>
  <c r="AB91" i="68"/>
  <c r="AC91" i="68"/>
  <c r="AD91" i="68"/>
  <c r="R92" i="68"/>
  <c r="S92" i="68"/>
  <c r="Z92" i="68"/>
  <c r="AA92" i="68"/>
  <c r="AB92" i="68"/>
  <c r="AC92" i="68"/>
  <c r="AD92" i="68"/>
  <c r="R93" i="68"/>
  <c r="S93" i="68"/>
  <c r="Z93" i="68"/>
  <c r="AA93" i="68"/>
  <c r="AB93" i="68"/>
  <c r="AC93" i="68"/>
  <c r="AD93" i="68"/>
  <c r="R94" i="68"/>
  <c r="S94" i="68"/>
  <c r="Z94" i="68"/>
  <c r="AA94" i="68"/>
  <c r="AB94" i="68"/>
  <c r="AC94" i="68"/>
  <c r="AD94" i="68"/>
  <c r="N16" i="67"/>
  <c r="O16" i="67"/>
  <c r="P16" i="67"/>
  <c r="Q16" i="67"/>
  <c r="R16" i="67"/>
  <c r="D13" i="66"/>
  <c r="E13" i="66"/>
  <c r="F13" i="66"/>
  <c r="G13" i="66"/>
  <c r="D14" i="66"/>
  <c r="E14" i="66"/>
  <c r="F14" i="66"/>
  <c r="G14" i="66"/>
  <c r="D15" i="66"/>
  <c r="E15" i="66"/>
  <c r="F15" i="66"/>
  <c r="G15" i="66"/>
  <c r="D16" i="66"/>
  <c r="E16" i="66"/>
  <c r="F16" i="66"/>
  <c r="G16" i="66"/>
  <c r="D17" i="66"/>
  <c r="E17" i="66"/>
  <c r="F17" i="66"/>
  <c r="G17" i="66"/>
  <c r="D18" i="66"/>
  <c r="E18" i="66"/>
  <c r="F18" i="66"/>
  <c r="G18" i="66"/>
  <c r="D19" i="66"/>
  <c r="E19" i="66"/>
  <c r="F19" i="66"/>
  <c r="G19" i="66"/>
  <c r="D20" i="66"/>
  <c r="E20" i="66"/>
  <c r="F20" i="66"/>
  <c r="G20" i="66"/>
  <c r="D21" i="66"/>
  <c r="E21" i="66"/>
  <c r="F21" i="66"/>
  <c r="G21" i="66"/>
  <c r="D22" i="66"/>
  <c r="E22" i="66"/>
  <c r="F22" i="66"/>
  <c r="G22" i="66"/>
  <c r="D23" i="66"/>
  <c r="E23" i="66"/>
  <c r="F23" i="66"/>
  <c r="G23" i="66"/>
  <c r="D24" i="66"/>
  <c r="E24" i="66"/>
  <c r="F24" i="66"/>
  <c r="G24" i="66"/>
  <c r="D25" i="66"/>
  <c r="E25" i="66"/>
  <c r="F25" i="66"/>
  <c r="G25" i="66"/>
  <c r="D26" i="66"/>
  <c r="E26" i="66"/>
  <c r="F26" i="66"/>
  <c r="G26" i="66"/>
  <c r="D27" i="66"/>
  <c r="E27" i="66"/>
  <c r="F27" i="66"/>
  <c r="G27" i="66"/>
  <c r="D28" i="66"/>
  <c r="E28" i="66"/>
  <c r="F28" i="66"/>
  <c r="G28" i="66"/>
  <c r="D29" i="66"/>
  <c r="E29" i="66"/>
  <c r="F29" i="66"/>
  <c r="G29" i="66"/>
  <c r="D30" i="66"/>
  <c r="E30" i="66"/>
  <c r="F30" i="66"/>
  <c r="G30" i="66"/>
  <c r="D31" i="66"/>
  <c r="E31" i="66"/>
  <c r="F31" i="66"/>
  <c r="G31" i="66"/>
  <c r="D32" i="66"/>
  <c r="E32" i="66"/>
  <c r="F32" i="66"/>
  <c r="G32" i="66"/>
  <c r="D33" i="66"/>
  <c r="E33" i="66"/>
  <c r="F33" i="66"/>
  <c r="G33" i="66"/>
  <c r="D34" i="66"/>
  <c r="E34" i="66"/>
  <c r="F34" i="66"/>
  <c r="G34" i="66"/>
  <c r="D35" i="66"/>
  <c r="E35" i="66"/>
  <c r="F35" i="66"/>
  <c r="G35" i="66"/>
  <c r="D36" i="66"/>
  <c r="E36" i="66"/>
  <c r="F36" i="66"/>
  <c r="G36" i="66"/>
  <c r="D37" i="66"/>
  <c r="E37" i="66"/>
  <c r="F37" i="66"/>
  <c r="G37" i="66"/>
  <c r="D38" i="66"/>
  <c r="E38" i="66"/>
  <c r="F38" i="66"/>
  <c r="G38" i="66"/>
  <c r="D39" i="66"/>
  <c r="E39" i="66"/>
  <c r="F39" i="66"/>
  <c r="G39" i="66"/>
  <c r="D40" i="66"/>
  <c r="E40" i="66"/>
  <c r="F40" i="66"/>
  <c r="G40" i="66"/>
  <c r="D41" i="66"/>
  <c r="E41" i="66"/>
  <c r="F41" i="66"/>
  <c r="G41" i="66"/>
  <c r="D42" i="66"/>
  <c r="E42" i="66"/>
  <c r="F42" i="66"/>
  <c r="G42" i="66"/>
  <c r="D43" i="66"/>
  <c r="E43" i="66"/>
  <c r="F43" i="66"/>
  <c r="G43" i="66"/>
  <c r="D44" i="66"/>
  <c r="E44" i="66"/>
  <c r="F44" i="66"/>
  <c r="G44" i="66"/>
  <c r="D45" i="66"/>
  <c r="E45" i="66"/>
  <c r="F45" i="66"/>
  <c r="G45" i="66"/>
  <c r="D46" i="66"/>
  <c r="E46" i="66"/>
  <c r="F46" i="66"/>
  <c r="G46" i="66"/>
  <c r="D47" i="66"/>
  <c r="E47" i="66"/>
  <c r="F47" i="66"/>
  <c r="G47" i="66"/>
  <c r="D48" i="66"/>
  <c r="E48" i="66"/>
  <c r="F48" i="66"/>
  <c r="G48" i="66"/>
  <c r="D49" i="66"/>
  <c r="E49" i="66"/>
  <c r="F49" i="66"/>
  <c r="G49" i="66"/>
  <c r="D50" i="66"/>
  <c r="E50" i="66"/>
  <c r="F50" i="66"/>
  <c r="G50" i="66"/>
  <c r="D51" i="66"/>
  <c r="E51" i="66"/>
  <c r="F51" i="66"/>
  <c r="G51" i="66"/>
  <c r="D52" i="66"/>
  <c r="E52" i="66"/>
  <c r="F52" i="66"/>
  <c r="G52" i="66"/>
  <c r="D53" i="66"/>
  <c r="E53" i="66"/>
  <c r="F53" i="66"/>
  <c r="G53" i="66"/>
  <c r="D54" i="66"/>
  <c r="E54" i="66"/>
  <c r="F54" i="66"/>
  <c r="G54" i="66"/>
  <c r="D55" i="66"/>
  <c r="E55" i="66"/>
  <c r="F55" i="66"/>
  <c r="G55" i="66"/>
  <c r="D56" i="66"/>
  <c r="E56" i="66"/>
  <c r="F56" i="66"/>
  <c r="G56" i="66"/>
  <c r="D57" i="66"/>
  <c r="E57" i="66"/>
  <c r="F57" i="66"/>
  <c r="G57" i="66"/>
  <c r="D58" i="66"/>
  <c r="E58" i="66"/>
  <c r="F58" i="66"/>
  <c r="G58" i="66"/>
  <c r="D59" i="66"/>
  <c r="E59" i="66"/>
  <c r="F59" i="66"/>
  <c r="G59" i="66"/>
  <c r="D60" i="66"/>
  <c r="E60" i="66"/>
  <c r="F60" i="66"/>
  <c r="G60" i="66"/>
  <c r="D61" i="66"/>
  <c r="E61" i="66"/>
  <c r="F61" i="66"/>
  <c r="G61" i="66"/>
  <c r="D62" i="66"/>
  <c r="E62" i="66"/>
  <c r="F62" i="66"/>
  <c r="G62" i="66"/>
  <c r="D63" i="66"/>
  <c r="E63" i="66"/>
  <c r="F63" i="66"/>
  <c r="G63" i="66"/>
  <c r="D64" i="66"/>
  <c r="E64" i="66"/>
  <c r="F64" i="66"/>
  <c r="G64" i="66"/>
  <c r="D65" i="66"/>
  <c r="E65" i="66"/>
  <c r="F65" i="66"/>
  <c r="G65" i="66"/>
  <c r="D66" i="66"/>
  <c r="E66" i="66"/>
  <c r="F66" i="66"/>
  <c r="G66" i="66"/>
  <c r="D67" i="66"/>
  <c r="E67" i="66"/>
  <c r="F67" i="66"/>
  <c r="G67" i="66"/>
  <c r="D68" i="66"/>
  <c r="E68" i="66"/>
  <c r="F68" i="66"/>
  <c r="G68" i="66"/>
  <c r="D69" i="66"/>
  <c r="E69" i="66"/>
  <c r="F69" i="66"/>
  <c r="G69" i="66"/>
  <c r="D70" i="66"/>
  <c r="E70" i="66"/>
  <c r="F70" i="66"/>
  <c r="G70" i="66"/>
  <c r="D71" i="66"/>
  <c r="E71" i="66"/>
  <c r="F71" i="66"/>
  <c r="G71" i="66"/>
  <c r="D72" i="66"/>
  <c r="E72" i="66"/>
  <c r="F72" i="66"/>
  <c r="G72" i="66"/>
  <c r="D73" i="66"/>
  <c r="E73" i="66"/>
  <c r="F73" i="66"/>
  <c r="G73" i="66"/>
  <c r="D74" i="66"/>
  <c r="E74" i="66"/>
  <c r="F74" i="66"/>
  <c r="G74" i="66"/>
  <c r="D75" i="66"/>
  <c r="E75" i="66"/>
  <c r="F75" i="66"/>
  <c r="G75" i="66"/>
  <c r="D76" i="66"/>
  <c r="E76" i="66"/>
  <c r="F76" i="66"/>
  <c r="G76" i="66"/>
  <c r="D77" i="66"/>
  <c r="E77" i="66"/>
  <c r="F77" i="66"/>
  <c r="G77" i="66"/>
  <c r="D78" i="66"/>
  <c r="E78" i="66"/>
  <c r="F78" i="66"/>
  <c r="G78" i="66"/>
  <c r="D79" i="66"/>
  <c r="E79" i="66"/>
  <c r="F79" i="66"/>
  <c r="G79" i="66"/>
  <c r="D80" i="66"/>
  <c r="E80" i="66"/>
  <c r="F80" i="66"/>
  <c r="G80" i="66"/>
  <c r="D81" i="66"/>
  <c r="E81" i="66"/>
  <c r="F81" i="66"/>
  <c r="G81" i="66"/>
  <c r="D82" i="66"/>
  <c r="E82" i="66"/>
  <c r="F82" i="66"/>
  <c r="G82" i="66"/>
  <c r="D83" i="66"/>
  <c r="E83" i="66"/>
  <c r="F83" i="66"/>
  <c r="G83" i="66"/>
  <c r="D84" i="66"/>
  <c r="E84" i="66"/>
  <c r="F84" i="66"/>
  <c r="G84" i="66"/>
  <c r="D85" i="66"/>
  <c r="E85" i="66"/>
  <c r="F85" i="66"/>
  <c r="G85" i="66"/>
  <c r="D86" i="66"/>
  <c r="E86" i="66"/>
  <c r="F86" i="66"/>
  <c r="G86" i="66"/>
  <c r="D87" i="66"/>
  <c r="E87" i="66"/>
  <c r="F87" i="66"/>
  <c r="G87" i="66"/>
  <c r="D88" i="66"/>
  <c r="E88" i="66"/>
  <c r="F88" i="66"/>
  <c r="G88" i="66"/>
  <c r="D89" i="66"/>
  <c r="E89" i="66"/>
  <c r="F89" i="66"/>
  <c r="G89" i="66"/>
  <c r="D90" i="66"/>
  <c r="E90" i="66"/>
  <c r="F90" i="66"/>
  <c r="G90" i="66"/>
  <c r="D91" i="66"/>
  <c r="E91" i="66"/>
  <c r="F91" i="66"/>
  <c r="G91" i="66"/>
  <c r="M10" i="60"/>
  <c r="M11" i="60"/>
  <c r="M12" i="60"/>
  <c r="M13" i="60"/>
  <c r="M16" i="60"/>
  <c r="M18" i="60"/>
  <c r="M19" i="60"/>
  <c r="M20" i="60"/>
  <c r="M21" i="60"/>
  <c r="M22" i="60"/>
  <c r="J9" i="60"/>
  <c r="J10" i="60"/>
  <c r="J11" i="60"/>
  <c r="J12" i="60"/>
  <c r="J13" i="60"/>
  <c r="J14" i="60"/>
  <c r="J15" i="60"/>
  <c r="J16" i="60"/>
  <c r="J17" i="60"/>
  <c r="J18" i="60"/>
  <c r="J19" i="60"/>
  <c r="J20" i="60"/>
  <c r="J21" i="60"/>
  <c r="J22" i="60"/>
  <c r="J8" i="60"/>
  <c r="I9" i="60"/>
  <c r="I10" i="60"/>
  <c r="I11" i="60"/>
  <c r="I12" i="60"/>
  <c r="I13" i="60"/>
  <c r="I14" i="60"/>
  <c r="I15" i="60"/>
  <c r="I16" i="60"/>
  <c r="I17" i="60"/>
  <c r="I18" i="60"/>
  <c r="I19" i="60"/>
  <c r="I20" i="60"/>
  <c r="I21" i="60"/>
  <c r="I22" i="60"/>
  <c r="I8" i="60"/>
  <c r="C24" i="53"/>
  <c r="D24" i="53"/>
  <c r="C25" i="53"/>
  <c r="D25" i="53"/>
  <c r="C26" i="53"/>
  <c r="D26" i="53"/>
  <c r="C27" i="53"/>
  <c r="D27" i="53"/>
  <c r="C28" i="53"/>
  <c r="D28" i="53"/>
  <c r="C29" i="53"/>
  <c r="D29" i="53"/>
  <c r="C30" i="53"/>
  <c r="D30" i="53"/>
  <c r="C31" i="53"/>
  <c r="D31" i="53"/>
  <c r="C32" i="53"/>
  <c r="D32" i="53"/>
  <c r="C33" i="53"/>
  <c r="D33" i="53"/>
  <c r="C34" i="53"/>
  <c r="D34" i="53"/>
  <c r="C35" i="53"/>
  <c r="D35" i="53"/>
  <c r="D36" i="53"/>
  <c r="E36" i="53"/>
  <c r="D37" i="53"/>
  <c r="E37" i="53"/>
  <c r="C23" i="53"/>
  <c r="D23" i="53"/>
  <c r="H10" i="32"/>
  <c r="H11" i="32"/>
  <c r="H6" i="32"/>
  <c r="H7" i="32"/>
  <c r="H8" i="32"/>
  <c r="F6" i="32"/>
  <c r="F7" i="32"/>
  <c r="F8" i="32"/>
  <c r="F10" i="32"/>
  <c r="F11" i="32"/>
  <c r="F12" i="32"/>
  <c r="D10" i="32"/>
  <c r="D11" i="32"/>
  <c r="D12" i="32"/>
  <c r="D8" i="32"/>
  <c r="D7" i="32"/>
  <c r="H5" i="44"/>
  <c r="H6" i="44"/>
  <c r="H7" i="44"/>
  <c r="H8" i="44"/>
  <c r="H9" i="44"/>
  <c r="H10" i="44"/>
  <c r="H12" i="44"/>
  <c r="H13" i="44"/>
  <c r="H14" i="44"/>
  <c r="H15" i="44"/>
  <c r="H16" i="44"/>
  <c r="H17" i="44"/>
  <c r="H18" i="44"/>
  <c r="H11" i="44"/>
  <c r="E27" i="65"/>
  <c r="E28" i="65"/>
  <c r="E29" i="65"/>
  <c r="E30" i="65"/>
  <c r="E31" i="65"/>
  <c r="E32" i="65"/>
  <c r="E33" i="65"/>
  <c r="E34" i="65"/>
  <c r="E35" i="65"/>
  <c r="E36" i="65"/>
  <c r="E37" i="65"/>
  <c r="E38" i="65"/>
  <c r="E39" i="65"/>
  <c r="E40" i="65"/>
  <c r="E41" i="65"/>
  <c r="G29" i="38"/>
  <c r="G30" i="38"/>
  <c r="G31" i="38"/>
  <c r="G32" i="38"/>
  <c r="G33" i="38"/>
  <c r="G34" i="38"/>
  <c r="G35" i="38"/>
  <c r="G36" i="38"/>
  <c r="G37" i="38"/>
  <c r="G38" i="38"/>
  <c r="G39" i="38"/>
  <c r="G40" i="38"/>
  <c r="G41" i="38"/>
  <c r="G42" i="38"/>
  <c r="G43" i="38"/>
  <c r="O29" i="38"/>
  <c r="O30" i="38"/>
  <c r="O31" i="38"/>
  <c r="O32" i="38"/>
  <c r="O33" i="38"/>
  <c r="O34" i="38"/>
  <c r="O35" i="38"/>
  <c r="O36" i="38"/>
  <c r="O37" i="38"/>
  <c r="O38" i="38"/>
  <c r="O39" i="38"/>
  <c r="O40" i="38"/>
  <c r="O41" i="38"/>
  <c r="O42" i="38"/>
  <c r="O43" i="38"/>
  <c r="U42" i="38"/>
  <c r="N25" i="70"/>
  <c r="O27" i="70"/>
  <c r="N27" i="70"/>
  <c r="S24" i="70"/>
  <c r="Q25" i="70"/>
  <c r="Q24" i="70"/>
  <c r="R26" i="70"/>
  <c r="O26" i="70"/>
  <c r="S25" i="70"/>
  <c r="P25" i="70"/>
  <c r="Q27" i="70"/>
  <c r="M125" i="72"/>
  <c r="R111" i="72"/>
  <c r="S111" i="72"/>
  <c r="Q110" i="72"/>
  <c r="J121" i="72"/>
  <c r="K129" i="72"/>
  <c r="K127" i="72"/>
  <c r="L120" i="72"/>
  <c r="R112" i="72"/>
  <c r="S112" i="72"/>
  <c r="R115" i="72"/>
  <c r="S115" i="72"/>
  <c r="K132" i="72"/>
  <c r="F118" i="72"/>
  <c r="H121" i="72"/>
  <c r="Q113" i="72"/>
  <c r="R107" i="72"/>
  <c r="S107" i="72"/>
  <c r="Q106" i="72"/>
  <c r="I135" i="72"/>
  <c r="Q135" i="72"/>
  <c r="L123" i="72"/>
  <c r="I119" i="72"/>
  <c r="I121" i="72"/>
  <c r="F135" i="72"/>
  <c r="M129" i="72"/>
  <c r="I131" i="72"/>
  <c r="M121" i="72"/>
  <c r="G119" i="72"/>
  <c r="K121" i="72"/>
  <c r="F125" i="72"/>
  <c r="AA40" i="72" a="1"/>
  <c r="AA40" i="72" s="1"/>
  <c r="Z28" i="72" a="1"/>
  <c r="Z28" i="72" s="1"/>
  <c r="AA27" i="72" a="1"/>
  <c r="AA27" i="72"/>
  <c r="Q107" i="72"/>
  <c r="K131" i="72"/>
  <c r="M131" i="72"/>
  <c r="AD46" i="72" a="1"/>
  <c r="AD46" i="72" s="1"/>
  <c r="R106" i="72"/>
  <c r="S106" i="72"/>
  <c r="AC40" i="72" a="1"/>
  <c r="AC40" i="72" s="1"/>
  <c r="H125" i="72"/>
  <c r="I123" i="72"/>
  <c r="J131" i="72"/>
  <c r="M117" i="72"/>
  <c r="Z41" i="72" a="1"/>
  <c r="Z41" i="72" s="1"/>
  <c r="L121" i="72"/>
  <c r="J134" i="72"/>
  <c r="F132" i="72"/>
  <c r="H130" i="72"/>
  <c r="J118" i="72"/>
  <c r="M126" i="72"/>
  <c r="W47" i="72" a="1"/>
  <c r="W47" i="72" s="1"/>
  <c r="AB30" i="72" a="1"/>
  <c r="AB30" i="72" s="1"/>
  <c r="W44" i="72" a="1"/>
  <c r="W44" i="72" s="1"/>
  <c r="AB42" i="72" a="1"/>
  <c r="AB42" i="72" s="1"/>
  <c r="I124" i="72"/>
  <c r="G121" i="72"/>
  <c r="W29" i="72" a="1"/>
  <c r="W29" i="72" s="1"/>
  <c r="Z30" i="72" a="1"/>
  <c r="Z30" i="72" s="1"/>
  <c r="X31" i="72" a="1"/>
  <c r="X31" i="72" s="1"/>
  <c r="AC32" i="72" a="1"/>
  <c r="AC32" i="72" s="1"/>
  <c r="X29" i="72" a="1"/>
  <c r="X29" i="72" s="1"/>
  <c r="Y29" i="72" a="1"/>
  <c r="Y29" i="72" s="1"/>
  <c r="J120" i="72"/>
  <c r="AA44" i="72" a="1"/>
  <c r="AA44" i="72" s="1"/>
  <c r="K133" i="72"/>
  <c r="AA32" i="72" a="1"/>
  <c r="AA32" i="72" s="1"/>
  <c r="L124" i="72"/>
  <c r="Y33" i="72" a="1"/>
  <c r="Y33" i="72"/>
  <c r="W36" i="72" a="1"/>
  <c r="W36" i="72"/>
  <c r="AC48" i="72" a="1"/>
  <c r="AC48" i="72"/>
  <c r="Z46" i="72" a="1"/>
  <c r="Z46" i="72"/>
  <c r="J124" i="72"/>
  <c r="Z35" i="72" a="1"/>
  <c r="Z35" i="72" s="1"/>
  <c r="Y31" i="72" a="1"/>
  <c r="Y31" i="72" s="1"/>
  <c r="Z31" i="72" a="1"/>
  <c r="Z31" i="72" s="1"/>
  <c r="J128" i="72"/>
  <c r="AC43" i="72" a="1"/>
  <c r="AC43" i="72"/>
  <c r="H134" i="72"/>
  <c r="Y48" i="72" a="1"/>
  <c r="Y48" i="72" s="1"/>
  <c r="L133" i="72"/>
  <c r="Q114" i="72"/>
  <c r="X45" i="72" a="1"/>
  <c r="X45" i="72" s="1"/>
  <c r="AB34" i="72" a="1"/>
  <c r="AB34" i="72"/>
  <c r="AA41" i="72" a="1"/>
  <c r="AA41" i="72" s="1"/>
  <c r="Z33" i="72" a="1"/>
  <c r="Z33" i="72" s="1"/>
  <c r="L122" i="72"/>
  <c r="AC41" i="72" a="1"/>
  <c r="AC41" i="72"/>
  <c r="L129" i="72"/>
  <c r="G125" i="72"/>
  <c r="F123" i="72"/>
  <c r="J132" i="72"/>
  <c r="Z43" i="72" a="1"/>
  <c r="Z43" i="72"/>
  <c r="AB43" i="72" a="1"/>
  <c r="AB43" i="72"/>
  <c r="AA33" i="72" a="1"/>
  <c r="AA33" i="72"/>
  <c r="AB45" i="72" a="1"/>
  <c r="AB45" i="72"/>
  <c r="Y34" i="72" a="1"/>
  <c r="Y34" i="72"/>
  <c r="J125" i="72"/>
  <c r="J123" i="72"/>
  <c r="I133" i="72"/>
  <c r="Q115" i="72"/>
  <c r="AB44" i="72" a="1"/>
  <c r="AB44" i="72" s="1"/>
  <c r="AC36" i="72" a="1"/>
  <c r="AC36" i="72" s="1"/>
  <c r="Y45" i="72" a="1"/>
  <c r="Y45" i="72" s="1"/>
  <c r="AA35" i="72" a="1"/>
  <c r="AA35" i="72" s="1"/>
  <c r="Y49" i="72" a="1"/>
  <c r="Y49" i="72" s="1"/>
  <c r="AB35" i="72" a="1"/>
  <c r="AB35" i="72" s="1"/>
  <c r="H135" i="72"/>
  <c r="AD42" i="72" a="1"/>
  <c r="AD42" i="72" s="1"/>
  <c r="I125" i="72"/>
  <c r="Q125" i="72" s="1"/>
  <c r="M127" i="72"/>
  <c r="Z48" i="72" a="1"/>
  <c r="Z48" i="72" s="1"/>
  <c r="G118" i="72"/>
  <c r="L134" i="72"/>
  <c r="AB48" i="72" a="1"/>
  <c r="AB48" i="72" s="1"/>
  <c r="L116" i="72"/>
  <c r="X47" i="72" a="1"/>
  <c r="X47" i="72"/>
  <c r="AB41" i="72" a="1"/>
  <c r="AB41" i="72"/>
  <c r="AB29" i="72" a="1"/>
  <c r="AB29" i="72"/>
  <c r="AC29" i="72" a="1"/>
  <c r="AC29" i="72"/>
  <c r="I127" i="72"/>
  <c r="AC42" i="72" a="1"/>
  <c r="AC42" i="72" s="1"/>
  <c r="W33" i="72" a="1"/>
  <c r="W33" i="72"/>
  <c r="H122" i="72"/>
  <c r="W31" i="72" a="1"/>
  <c r="W31" i="72" s="1"/>
  <c r="AB32" i="72" a="1"/>
  <c r="AB32" i="72" s="1"/>
  <c r="W49" i="72" a="1"/>
  <c r="W49" i="72" s="1"/>
  <c r="AA43" i="72" a="1"/>
  <c r="AA43" i="72"/>
  <c r="M122" i="72"/>
  <c r="K128" i="72"/>
  <c r="AC31" i="72" a="1"/>
  <c r="AC31" i="72" s="1"/>
  <c r="AD47" i="72" a="1"/>
  <c r="AD47" i="72" s="1"/>
  <c r="K135" i="72"/>
  <c r="H131" i="72"/>
  <c r="L119" i="72"/>
  <c r="K117" i="72"/>
  <c r="AA30" i="72" a="1"/>
  <c r="AA30" i="72" s="1"/>
  <c r="F119" i="72"/>
  <c r="G134" i="72"/>
  <c r="AC34" i="72" a="1"/>
  <c r="AC34" i="72"/>
  <c r="M132" i="72"/>
  <c r="Z45" i="72" a="1"/>
  <c r="Z45" i="72" s="1"/>
  <c r="AC30" i="72" a="1"/>
  <c r="AC30" i="72" s="1"/>
  <c r="I128" i="72"/>
  <c r="Q128" i="72" s="1"/>
  <c r="AB33" i="72" a="1"/>
  <c r="AB33" i="72" s="1"/>
  <c r="X33" i="72" a="1"/>
  <c r="X33" i="72"/>
  <c r="Y35" i="72" a="1"/>
  <c r="Y35" i="72" s="1"/>
  <c r="AD44" i="72" a="1"/>
  <c r="AD44" i="72" s="1"/>
  <c r="Y47" i="72" a="1"/>
  <c r="Y47" i="72" s="1"/>
  <c r="G123" i="72"/>
  <c r="AB28" i="72" a="1"/>
  <c r="AB28" i="72" s="1"/>
  <c r="L132" i="72"/>
  <c r="AD40" i="72" a="1"/>
  <c r="AD40" i="72"/>
  <c r="W34" i="72" a="1"/>
  <c r="W34" i="72"/>
  <c r="M130" i="72"/>
  <c r="W46" i="72" a="1"/>
  <c r="W46" i="72" s="1"/>
  <c r="Z42" i="72" a="1"/>
  <c r="Z42" i="72" s="1"/>
  <c r="M134" i="72"/>
  <c r="AB47" i="72" a="1"/>
  <c r="AB47" i="72"/>
  <c r="AC46" i="72" a="1"/>
  <c r="AC46" i="72"/>
  <c r="Y43" i="72" a="1"/>
  <c r="Y43" i="72"/>
  <c r="AA28" i="72" a="1"/>
  <c r="AA28" i="72"/>
  <c r="X49" i="72" a="1"/>
  <c r="X49" i="72"/>
  <c r="X42" i="72" a="1"/>
  <c r="X42" i="72"/>
  <c r="X36" i="72" a="1"/>
  <c r="X36" i="72"/>
  <c r="AD48" i="72" a="1"/>
  <c r="AD48" i="72"/>
  <c r="X34" i="72" a="1"/>
  <c r="X34" i="72"/>
  <c r="H118" i="72"/>
  <c r="N26" i="70"/>
  <c r="O25" i="70"/>
  <c r="S26" i="70"/>
  <c r="R24" i="70"/>
  <c r="R23" i="70"/>
  <c r="Q23" i="70"/>
  <c r="P23" i="70"/>
  <c r="P27" i="70"/>
  <c r="O23" i="70"/>
  <c r="R25" i="70"/>
  <c r="S27" i="70"/>
  <c r="N24" i="70"/>
  <c r="P26" i="70"/>
  <c r="R27" i="70"/>
  <c r="Q26" i="70"/>
  <c r="J129" i="72"/>
  <c r="K126" i="72"/>
  <c r="K120" i="72"/>
  <c r="F134" i="72"/>
  <c r="H124" i="72"/>
  <c r="G124" i="72"/>
  <c r="I132" i="72"/>
  <c r="Q132" i="72" s="1"/>
  <c r="K122" i="72"/>
  <c r="G132" i="72"/>
  <c r="G122" i="72"/>
  <c r="I120" i="72"/>
  <c r="F130" i="72"/>
  <c r="M120" i="72"/>
  <c r="J130" i="72"/>
  <c r="L130" i="72"/>
  <c r="G130" i="72"/>
  <c r="K118" i="72"/>
  <c r="L128" i="72"/>
  <c r="L118" i="72"/>
  <c r="F128" i="72"/>
  <c r="H128" i="72"/>
  <c r="I118" i="72"/>
  <c r="H129" i="72"/>
  <c r="I117" i="72"/>
  <c r="M124" i="72"/>
  <c r="I126" i="72"/>
  <c r="G117" i="72"/>
  <c r="I130" i="72"/>
  <c r="X40" i="72" a="1"/>
  <c r="X40" i="72"/>
  <c r="G126" i="72"/>
  <c r="J122" i="72"/>
  <c r="AC45" i="72" a="1"/>
  <c r="AC45" i="72"/>
  <c r="W40" i="72" a="1"/>
  <c r="W40" i="72"/>
  <c r="M128" i="72"/>
  <c r="AB27" i="72" a="1"/>
  <c r="AB27" i="72" s="1"/>
  <c r="G128" i="72"/>
  <c r="F124" i="72"/>
  <c r="M135" i="72"/>
  <c r="H120" i="72"/>
  <c r="J116" i="72"/>
  <c r="F122" i="72"/>
  <c r="G129" i="72"/>
  <c r="F120" i="72"/>
  <c r="H116" i="72"/>
  <c r="AD49" i="72" a="1"/>
  <c r="AD49" i="72" s="1"/>
  <c r="W42" i="72" a="1"/>
  <c r="W42" i="72"/>
  <c r="G135" i="72"/>
  <c r="K125" i="72"/>
  <c r="L135" i="72"/>
  <c r="J135" i="72"/>
  <c r="H133" i="72"/>
  <c r="H123" i="72"/>
  <c r="J133" i="72"/>
  <c r="M133" i="72"/>
  <c r="K123" i="72"/>
  <c r="M123" i="72"/>
  <c r="G133" i="72"/>
  <c r="G131" i="72"/>
  <c r="F131" i="72"/>
  <c r="F121" i="72"/>
  <c r="K119" i="72"/>
  <c r="M119" i="72"/>
  <c r="I129" i="72"/>
  <c r="J119" i="72"/>
  <c r="F129" i="72"/>
  <c r="F117" i="72"/>
  <c r="J127" i="72"/>
  <c r="H117" i="72"/>
  <c r="L127" i="72"/>
  <c r="J117" i="72"/>
  <c r="L117" i="72"/>
  <c r="F127" i="72"/>
  <c r="H127" i="72"/>
  <c r="H126" i="72"/>
  <c r="G116" i="72"/>
  <c r="J126" i="72"/>
  <c r="I116" i="72"/>
  <c r="L126" i="72"/>
  <c r="K116" i="72"/>
  <c r="M116" i="72"/>
  <c r="F126" i="72"/>
  <c r="F116" i="72"/>
  <c r="I122" i="72"/>
  <c r="AC44" i="72" a="1"/>
  <c r="AC44" i="72" s="1"/>
  <c r="AC27" i="72" a="1"/>
  <c r="AC27" i="72" s="1"/>
  <c r="AA46" i="72" a="1"/>
  <c r="AA46" i="72"/>
  <c r="W41" i="72" a="1"/>
  <c r="W41" i="72" s="1"/>
  <c r="X43" i="72" a="1"/>
  <c r="X43" i="72" s="1"/>
  <c r="AB36" i="72" a="1"/>
  <c r="AB36" i="72" s="1"/>
  <c r="W43" i="72" a="1"/>
  <c r="W43" i="72"/>
  <c r="X48" i="72" a="1"/>
  <c r="X48" i="72" s="1"/>
  <c r="X41" i="72" a="1"/>
  <c r="X41" i="72" s="1"/>
  <c r="AA34" i="72" a="1"/>
  <c r="AA34" i="72" s="1"/>
  <c r="AA36" i="72" a="1"/>
  <c r="AA36" i="72"/>
  <c r="AA31" i="72" a="1"/>
  <c r="AA31" i="72" s="1"/>
  <c r="W32" i="72" a="1"/>
  <c r="W32" i="72" s="1"/>
  <c r="X44" i="72" a="1"/>
  <c r="X44" i="72" s="1"/>
  <c r="Z47" i="72" a="1"/>
  <c r="Z47" i="72" s="1"/>
  <c r="Y41" i="72" a="1"/>
  <c r="Y41" i="72" s="1"/>
  <c r="Z32" i="72" a="1"/>
  <c r="Z32" i="72" s="1"/>
  <c r="Z34" i="72" a="1"/>
  <c r="Z34" i="72" s="1"/>
  <c r="Y46" i="72" a="1"/>
  <c r="Y46" i="72"/>
  <c r="X32" i="72" a="1"/>
  <c r="X32" i="72" s="1"/>
  <c r="Z29" i="72" a="1"/>
  <c r="Z29" i="72" s="1"/>
  <c r="Z49" i="72" a="1"/>
  <c r="Z49" i="72" s="1"/>
  <c r="AA45" i="72" a="1"/>
  <c r="AA45" i="72" s="1"/>
  <c r="AA49" i="72" a="1"/>
  <c r="AA49" i="72" s="1"/>
  <c r="Y30" i="72" a="1"/>
  <c r="Y30" i="72" s="1"/>
  <c r="Y32" i="72" a="1"/>
  <c r="Y32" i="72" s="1"/>
  <c r="Z44" i="72" a="1"/>
  <c r="Z44" i="72"/>
  <c r="AC33" i="72" a="1"/>
  <c r="AC33" i="72" s="1"/>
  <c r="W30" i="72" a="1"/>
  <c r="W30" i="72" s="1"/>
  <c r="Y27" i="72" a="1"/>
  <c r="Y27" i="72" s="1"/>
  <c r="AA47" i="72" a="1"/>
  <c r="AA47" i="72" s="1"/>
  <c r="AC28" i="72" a="1"/>
  <c r="AC28" i="72" s="1"/>
  <c r="Y42" i="72" a="1"/>
  <c r="Y42" i="72" s="1"/>
  <c r="X35" i="72" a="1"/>
  <c r="X35" i="72" s="1"/>
  <c r="AC49" i="72" a="1"/>
  <c r="AC49" i="72"/>
  <c r="AA42" i="72" a="1"/>
  <c r="AA42" i="72" s="1"/>
  <c r="AB31" i="72" a="1"/>
  <c r="AB31" i="72" s="1"/>
  <c r="W48" i="72" a="1"/>
  <c r="W48" i="72" s="1"/>
  <c r="AD43" i="72" a="1"/>
  <c r="AD43" i="72"/>
  <c r="X28" i="72" a="1"/>
  <c r="X28" i="72" s="1"/>
  <c r="AB49" i="72" a="1"/>
  <c r="AB49" i="72" s="1"/>
  <c r="X30" i="72" a="1"/>
  <c r="X30" i="72" s="1"/>
  <c r="AA29" i="72" a="1"/>
  <c r="AA29" i="72"/>
  <c r="X46" i="72" a="1"/>
  <c r="X46" i="72" s="1"/>
  <c r="W45" i="72" a="1"/>
  <c r="W45" i="72" s="1"/>
  <c r="AA48" i="72" a="1"/>
  <c r="AA48" i="72" s="1"/>
  <c r="AC47" i="72" a="1"/>
  <c r="AC47" i="72" s="1"/>
  <c r="Z27" i="72" a="1"/>
  <c r="Z27" i="72" s="1"/>
  <c r="Y36" i="72" a="1"/>
  <c r="Y36" i="72" s="1"/>
  <c r="AB46" i="72" a="1"/>
  <c r="AB46" i="72" s="1"/>
  <c r="AD45" i="72" a="1"/>
  <c r="AD45" i="72"/>
  <c r="W28" i="72" a="1"/>
  <c r="W28" i="72" s="1"/>
  <c r="Z36" i="72" a="1"/>
  <c r="Z36" i="72" s="1"/>
  <c r="Y44" i="72" a="1"/>
  <c r="Y44" i="72" s="1"/>
  <c r="AC35" i="72" a="1"/>
  <c r="AC35" i="72" s="1"/>
  <c r="G127" i="72"/>
  <c r="K130" i="72"/>
  <c r="AB40" i="72" a="1"/>
  <c r="AB40" i="72" s="1"/>
  <c r="K134" i="72"/>
  <c r="G120" i="72"/>
  <c r="I134" i="72"/>
  <c r="K124" i="72"/>
  <c r="R132" i="72"/>
  <c r="S132" i="72" s="1"/>
  <c r="R128" i="72"/>
  <c r="S128" i="72" s="1"/>
  <c r="H29" i="65" l="1"/>
  <c r="I29" i="65"/>
  <c r="H36" i="65"/>
  <c r="I36" i="65"/>
  <c r="H28" i="65"/>
  <c r="I28" i="65"/>
  <c r="H37" i="65"/>
  <c r="I37" i="65"/>
  <c r="H35" i="65"/>
  <c r="I35" i="65"/>
  <c r="H27" i="65"/>
  <c r="I27" i="65"/>
  <c r="H34" i="65"/>
  <c r="I34" i="65"/>
  <c r="H41" i="65"/>
  <c r="I41" i="65"/>
  <c r="H33" i="65"/>
  <c r="I33" i="65"/>
  <c r="H40" i="65"/>
  <c r="I40" i="65"/>
  <c r="H32" i="65"/>
  <c r="I32" i="65"/>
  <c r="H39" i="65"/>
  <c r="I39" i="65"/>
  <c r="H31" i="65"/>
  <c r="I31" i="65"/>
  <c r="H38" i="65"/>
  <c r="I38" i="65"/>
  <c r="H30" i="65"/>
  <c r="I30" i="65"/>
  <c r="F23" i="45"/>
  <c r="G23" i="45"/>
  <c r="G38" i="45"/>
  <c r="F38" i="45"/>
  <c r="G31" i="45"/>
  <c r="F31" i="45"/>
  <c r="F28" i="45"/>
  <c r="G28" i="45"/>
  <c r="F25" i="45"/>
  <c r="G25" i="45"/>
  <c r="F26" i="45"/>
  <c r="G26" i="45"/>
  <c r="G34" i="45"/>
  <c r="F34" i="45"/>
  <c r="F35" i="45"/>
  <c r="G35" i="45"/>
  <c r="F33" i="45"/>
  <c r="G33" i="45"/>
  <c r="F37" i="45"/>
  <c r="G37" i="45"/>
  <c r="F36" i="45"/>
  <c r="G36" i="45"/>
  <c r="G29" i="45"/>
  <c r="F29" i="45"/>
  <c r="Q118" i="72"/>
  <c r="T125" i="72"/>
  <c r="Q131" i="72"/>
  <c r="Q116" i="72"/>
  <c r="T133" i="72"/>
  <c r="Q133" i="72"/>
  <c r="Q122" i="72"/>
  <c r="Q121" i="72"/>
  <c r="R121" i="72"/>
  <c r="S121" i="72" s="1"/>
  <c r="T121" i="72"/>
  <c r="Q130" i="72"/>
  <c r="T117" i="72"/>
  <c r="Q117" i="72"/>
  <c r="R117" i="72"/>
  <c r="S117" i="72" s="1"/>
  <c r="R123" i="72"/>
  <c r="S123" i="72" s="1"/>
  <c r="R124" i="72"/>
  <c r="S124" i="72" s="1"/>
  <c r="Q120" i="72"/>
  <c r="X31" i="73" a="1"/>
  <c r="X31" i="73" s="1"/>
  <c r="W29" i="73" a="1"/>
  <c r="W29" i="73" s="1"/>
  <c r="W47" i="73" a="1"/>
  <c r="W47" i="73" s="1"/>
  <c r="AB36" i="73" a="1"/>
  <c r="AB36" i="73" s="1"/>
  <c r="AF32" i="73" a="1"/>
  <c r="AF32" i="73" s="1"/>
  <c r="AE48" i="73" a="1"/>
  <c r="AE48" i="73" s="1"/>
  <c r="Y29" i="73" a="1"/>
  <c r="Y29" i="73" s="1"/>
  <c r="AC46" i="73" a="1"/>
  <c r="AC46" i="73" s="1"/>
  <c r="V47" i="73" a="1"/>
  <c r="V47" i="73" s="1"/>
  <c r="AC49" i="73" a="1"/>
  <c r="AC49" i="73" s="1"/>
  <c r="AD36" i="73" a="1"/>
  <c r="AD36" i="73" s="1"/>
  <c r="AF33" i="73" a="1"/>
  <c r="AF33" i="73" s="1"/>
  <c r="AC45" i="73" a="1"/>
  <c r="AC45" i="73" s="1"/>
  <c r="W50" i="73" a="1"/>
  <c r="W50" i="73" s="1"/>
  <c r="W34" i="73" a="1"/>
  <c r="W34" i="73" s="1"/>
  <c r="AC42" i="73" a="1"/>
  <c r="AC42" i="73" s="1"/>
  <c r="Z29" i="73" a="1"/>
  <c r="Z29" i="73" s="1"/>
  <c r="T128" i="72"/>
  <c r="AA33" i="73" a="1"/>
  <c r="AA33" i="73" s="1"/>
  <c r="AC30" i="73" a="1"/>
  <c r="AC30" i="73" s="1"/>
  <c r="AE27" i="73" a="1"/>
  <c r="AE27" i="73" s="1"/>
  <c r="Y34" i="73" a="1"/>
  <c r="Y34" i="73" s="1"/>
  <c r="AE30" i="73" a="1"/>
  <c r="AE30" i="73" s="1"/>
  <c r="AC44" i="73" a="1"/>
  <c r="AC44" i="73" s="1"/>
  <c r="AB31" i="73" a="1"/>
  <c r="AB31" i="73" s="1"/>
  <c r="AD28" i="73" a="1"/>
  <c r="AD28" i="73" s="1"/>
  <c r="AE33" i="73" a="1"/>
  <c r="AE33" i="73" s="1"/>
  <c r="AA50" i="73" a="1"/>
  <c r="AA50" i="73" s="1"/>
  <c r="AE43" i="73" a="1"/>
  <c r="AE43" i="73" s="1"/>
  <c r="AD47" i="73" a="1"/>
  <c r="AD47" i="73" s="1"/>
  <c r="V36" i="73" a="1"/>
  <c r="V36" i="73" s="1"/>
  <c r="AC48" i="73" a="1"/>
  <c r="AC48" i="73" s="1"/>
  <c r="AB32" i="73" a="1"/>
  <c r="AB32" i="73" s="1"/>
  <c r="W46" i="73" a="1"/>
  <c r="W46" i="73" s="1"/>
  <c r="AF28" i="73" a="1"/>
  <c r="AF28" i="73" s="1"/>
  <c r="AA35" i="73" a="1"/>
  <c r="AA35" i="73" s="1"/>
  <c r="AE44" i="73" a="1"/>
  <c r="AE44" i="73" s="1"/>
  <c r="AA30" i="73" a="1"/>
  <c r="AA30" i="73" s="1"/>
  <c r="Y33" i="73" a="1"/>
  <c r="Y33" i="73" s="1"/>
  <c r="X36" i="73" a="1"/>
  <c r="X36" i="73" s="1"/>
  <c r="AE47" i="73" a="1"/>
  <c r="AE47" i="73" s="1"/>
  <c r="AE50" i="73" a="1"/>
  <c r="AE50" i="73" s="1"/>
  <c r="AB42" i="73" a="1"/>
  <c r="AB42" i="73" s="1"/>
  <c r="AD41" i="73" a="1"/>
  <c r="AD41" i="73" s="1"/>
  <c r="W41" i="73" a="1"/>
  <c r="W41" i="73" s="1"/>
  <c r="Z28" i="73" a="1"/>
  <c r="Z28" i="73" s="1"/>
  <c r="X50" i="73" a="1"/>
  <c r="X50" i="73" s="1"/>
  <c r="Z50" i="73" s="1"/>
  <c r="Y44" i="73" a="1"/>
  <c r="Y44" i="73" s="1"/>
  <c r="O134" i="72"/>
  <c r="O131" i="72"/>
  <c r="R131" i="72" s="1"/>
  <c r="S131" i="72" s="1"/>
  <c r="O127" i="72"/>
  <c r="X34" i="73" a="1"/>
  <c r="X34" i="73" s="1"/>
  <c r="AF34" i="73" a="1"/>
  <c r="AF34" i="73" s="1"/>
  <c r="AA36" i="73" a="1"/>
  <c r="AA36" i="73" s="1"/>
  <c r="X29" i="73" a="1"/>
  <c r="X29" i="73" s="1"/>
  <c r="V45" i="73" a="1"/>
  <c r="V45" i="73" s="1"/>
  <c r="AE35" i="73" a="1"/>
  <c r="AE35" i="73" s="1"/>
  <c r="X32" i="73" a="1"/>
  <c r="X32" i="73" s="1"/>
  <c r="AD33" i="73" a="1"/>
  <c r="AD33" i="73" s="1"/>
  <c r="V48" i="73" a="1"/>
  <c r="V48" i="73" s="1"/>
  <c r="AA29" i="73" a="1"/>
  <c r="AA29" i="73" s="1"/>
  <c r="X35" i="73" a="1"/>
  <c r="X35" i="73" s="1"/>
  <c r="V28" i="73" a="1"/>
  <c r="V28" i="73" s="1"/>
  <c r="Y35" i="73" a="1"/>
  <c r="Y35" i="73" s="1"/>
  <c r="AF50" i="73" a="1"/>
  <c r="AF50" i="73" s="1"/>
  <c r="V42" i="73" a="1"/>
  <c r="V42" i="73" s="1"/>
  <c r="AF42" i="73" a="1"/>
  <c r="AF42" i="73" s="1"/>
  <c r="Z36" i="73" a="1"/>
  <c r="Z36" i="73" s="1"/>
  <c r="X47" i="73" a="1"/>
  <c r="X47" i="73" s="1"/>
  <c r="N134" i="72"/>
  <c r="O120" i="72"/>
  <c r="R120" i="72" s="1"/>
  <c r="S120" i="72" s="1"/>
  <c r="O116" i="72"/>
  <c r="R116" i="72" s="1"/>
  <c r="S116" i="72" s="1"/>
  <c r="Q124" i="72"/>
  <c r="Q129" i="72"/>
  <c r="AB43" i="73" a="1"/>
  <c r="AB43" i="73" s="1"/>
  <c r="V32" i="73" a="1"/>
  <c r="V32" i="73" s="1"/>
  <c r="AA31" i="73" a="1"/>
  <c r="AA31" i="73" s="1"/>
  <c r="AB46" i="73" a="1"/>
  <c r="AB46" i="73" s="1"/>
  <c r="AA34" i="73" a="1"/>
  <c r="AA34" i="73" s="1"/>
  <c r="AD49" i="73" a="1"/>
  <c r="AD49" i="73" s="1"/>
  <c r="W35" i="73" a="1"/>
  <c r="W35" i="73" s="1"/>
  <c r="AB49" i="73" a="1"/>
  <c r="AB49" i="73" s="1"/>
  <c r="V43" i="73" a="1"/>
  <c r="V43" i="73" s="1"/>
  <c r="AB45" i="73" a="1"/>
  <c r="AB45" i="73" s="1"/>
  <c r="AA47" i="73" a="1"/>
  <c r="AA47" i="73" s="1"/>
  <c r="AE36" i="73" a="1"/>
  <c r="AE36" i="73" s="1"/>
  <c r="AB29" i="73" a="1"/>
  <c r="AB29" i="73" s="1"/>
  <c r="AF43" i="73" a="1"/>
  <c r="AF43" i="73" s="1"/>
  <c r="W28" i="73" a="1"/>
  <c r="W28" i="73" s="1"/>
  <c r="AD34" i="73" a="1"/>
  <c r="AD34" i="73" s="1"/>
  <c r="AE49" i="73" a="1"/>
  <c r="AE49" i="73" s="1"/>
  <c r="Y30" i="73" a="1"/>
  <c r="Y30" i="73" s="1"/>
  <c r="AF36" i="73" a="1"/>
  <c r="AF36" i="73" s="1"/>
  <c r="AB27" i="73" a="1"/>
  <c r="AB27" i="73" s="1"/>
  <c r="W31" i="73" a="1"/>
  <c r="W31" i="73" s="1"/>
  <c r="V34" i="73" a="1"/>
  <c r="V34" i="73" s="1"/>
  <c r="AC50" i="73" a="1"/>
  <c r="AC50" i="73" s="1"/>
  <c r="V50" i="73" a="1"/>
  <c r="V50" i="73" s="1"/>
  <c r="AC43" i="73" a="1"/>
  <c r="AC43" i="73" s="1"/>
  <c r="Y28" i="73" a="1"/>
  <c r="Y28" i="73" s="1"/>
  <c r="Z35" i="73" a="1"/>
  <c r="Z35" i="73" s="1"/>
  <c r="Y41" i="73" a="1"/>
  <c r="Y41" i="73" s="1"/>
  <c r="Z41" i="73" s="1"/>
  <c r="O130" i="72"/>
  <c r="R130" i="72" s="1"/>
  <c r="S130" i="72" s="1"/>
  <c r="O126" i="72"/>
  <c r="R126" i="72" s="1"/>
  <c r="S126" i="72" s="1"/>
  <c r="Q126" i="72"/>
  <c r="AC35" i="73" a="1"/>
  <c r="AC35" i="73" s="1"/>
  <c r="AA46" i="73" a="1"/>
  <c r="AA46" i="73" s="1"/>
  <c r="AB33" i="73" a="1"/>
  <c r="AB33" i="73" s="1"/>
  <c r="AE45" i="73" a="1"/>
  <c r="AE45" i="73" s="1"/>
  <c r="AF35" i="73" a="1"/>
  <c r="AF35" i="73" s="1"/>
  <c r="V44" i="73" a="1"/>
  <c r="V44" i="73" s="1"/>
  <c r="AB47" i="73" a="1"/>
  <c r="AB47" i="73" s="1"/>
  <c r="W30" i="73" a="1"/>
  <c r="W30" i="73" s="1"/>
  <c r="AB44" i="73" a="1"/>
  <c r="AB44" i="73" s="1"/>
  <c r="W44" i="73" a="1"/>
  <c r="W44" i="73" s="1"/>
  <c r="AF48" i="73" a="1"/>
  <c r="AF48" i="73" s="1"/>
  <c r="AE28" i="73" a="1"/>
  <c r="AE28" i="73" s="1"/>
  <c r="AD31" i="73" a="1"/>
  <c r="AD31" i="73" s="1"/>
  <c r="W42" i="73" a="1"/>
  <c r="W42" i="73" s="1"/>
  <c r="AA43" i="73" a="1"/>
  <c r="AA43" i="73" s="1"/>
  <c r="Z34" i="73" a="1"/>
  <c r="Z34" i="73" s="1"/>
  <c r="Y43" i="73" a="1"/>
  <c r="Y43" i="73" s="1"/>
  <c r="O133" i="72"/>
  <c r="R133" i="72" s="1"/>
  <c r="S133" i="72" s="1"/>
  <c r="N123" i="72"/>
  <c r="T123" i="72" s="1"/>
  <c r="O119" i="72"/>
  <c r="R119" i="72" s="1"/>
  <c r="S119" i="72" s="1"/>
  <c r="AE29" i="73" a="1"/>
  <c r="AE29" i="73" s="1"/>
  <c r="AF29" i="73" a="1"/>
  <c r="AF29" i="73" s="1"/>
  <c r="AD35" i="73" a="1"/>
  <c r="AD35" i="73" s="1"/>
  <c r="W32" i="73" a="1"/>
  <c r="W32" i="73" s="1"/>
  <c r="AB28" i="73" a="1"/>
  <c r="AB28" i="73" s="1"/>
  <c r="AF27" i="73" a="1"/>
  <c r="AF27" i="73" s="1"/>
  <c r="AF44" i="73" a="1"/>
  <c r="AF44" i="73" s="1"/>
  <c r="AC36" i="73" a="1"/>
  <c r="AC36" i="73" s="1"/>
  <c r="V49" i="73" a="1"/>
  <c r="V49" i="73" s="1"/>
  <c r="AC31" i="73" a="1"/>
  <c r="AC31" i="73" s="1"/>
  <c r="AF30" i="73" a="1"/>
  <c r="AF30" i="73" s="1"/>
  <c r="X30" i="73" a="1"/>
  <c r="X30" i="73" s="1"/>
  <c r="W43" i="73" a="1"/>
  <c r="W43" i="73" s="1"/>
  <c r="AB50" i="73" a="1"/>
  <c r="AB50" i="73" s="1"/>
  <c r="AC29" i="73" a="1"/>
  <c r="AC29" i="73" s="1"/>
  <c r="W36" i="73" a="1"/>
  <c r="W36" i="73" s="1"/>
  <c r="W49" i="73" a="1"/>
  <c r="W49" i="73" s="1"/>
  <c r="AE31" i="73" a="1"/>
  <c r="AE31" i="73" s="1"/>
  <c r="AA45" i="73" a="1"/>
  <c r="AA45" i="73" s="1"/>
  <c r="X28" i="73" a="1"/>
  <c r="X28" i="73" s="1"/>
  <c r="AF31" i="73" a="1"/>
  <c r="AF31" i="73" s="1"/>
  <c r="AE34" i="73" a="1"/>
  <c r="AE34" i="73" s="1"/>
  <c r="AD50" i="73" a="1"/>
  <c r="AD50" i="73" s="1"/>
  <c r="AD48" i="73" a="1"/>
  <c r="AD48" i="73" s="1"/>
  <c r="AA42" i="73" a="1"/>
  <c r="AA42" i="73" s="1"/>
  <c r="AF41" i="73" a="1"/>
  <c r="AF41" i="73" s="1"/>
  <c r="AB41" i="73" a="1"/>
  <c r="AB41" i="73" s="1"/>
  <c r="Z33" i="73" a="1"/>
  <c r="Z33" i="73" s="1"/>
  <c r="O129" i="72"/>
  <c r="R129" i="72" s="1"/>
  <c r="S129" i="72" s="1"/>
  <c r="O122" i="72"/>
  <c r="R122" i="72" s="1"/>
  <c r="S122" i="72" s="1"/>
  <c r="N119" i="72"/>
  <c r="Q119" i="72" s="1"/>
  <c r="R135" i="72"/>
  <c r="S135" i="72" s="1"/>
  <c r="Q123" i="72"/>
  <c r="Y31" i="73" a="1"/>
  <c r="Y31" i="73" s="1"/>
  <c r="AF47" i="73" a="1"/>
  <c r="AF47" i="73" s="1"/>
  <c r="AD45" i="73" a="1"/>
  <c r="AD45" i="73" s="1"/>
  <c r="AC33" i="73" a="1"/>
  <c r="AC33" i="73" s="1"/>
  <c r="AC28" i="73" a="1"/>
  <c r="AC28" i="73" s="1"/>
  <c r="AA44" i="73" a="1"/>
  <c r="AA44" i="73" s="1"/>
  <c r="W27" i="73" a="1"/>
  <c r="W27" i="73" s="1"/>
  <c r="AD43" i="73" a="1"/>
  <c r="AD43" i="73" s="1"/>
  <c r="Y32" i="73" a="1"/>
  <c r="Y32" i="73" s="1"/>
  <c r="AD46" i="73" a="1"/>
  <c r="AD46" i="73" s="1"/>
  <c r="AB34" i="73" a="1"/>
  <c r="AB34" i="73" s="1"/>
  <c r="AE46" i="73" a="1"/>
  <c r="AE46" i="73" s="1"/>
  <c r="V46" i="73" a="1"/>
  <c r="V46" i="73" s="1"/>
  <c r="W33" i="73" a="1"/>
  <c r="W33" i="73" s="1"/>
  <c r="V29" i="73" a="1"/>
  <c r="V29" i="73" s="1"/>
  <c r="AD32" i="73" a="1"/>
  <c r="AD32" i="73" s="1"/>
  <c r="Y46" i="73" a="1"/>
  <c r="Y46" i="73" s="1"/>
  <c r="X44" i="73" a="1"/>
  <c r="X44" i="73" s="1"/>
  <c r="Z44" i="73" s="1"/>
  <c r="O118" i="72"/>
  <c r="R118" i="72" s="1"/>
  <c r="S118" i="72" s="1"/>
  <c r="F34" i="53"/>
  <c r="F30" i="53"/>
  <c r="I5" i="58"/>
  <c r="J12" i="58"/>
  <c r="J13" i="58"/>
  <c r="J19" i="58"/>
  <c r="J15" i="58"/>
  <c r="J8" i="58"/>
  <c r="J11" i="58"/>
  <c r="J14" i="58"/>
  <c r="H20" i="58"/>
  <c r="H12" i="58"/>
  <c r="J9" i="58"/>
  <c r="H19" i="58"/>
  <c r="J17" i="58"/>
  <c r="H18" i="58"/>
  <c r="J16" i="58"/>
  <c r="H6" i="58"/>
  <c r="H14" i="58"/>
  <c r="I17" i="58"/>
  <c r="F37" i="53"/>
  <c r="F36" i="53"/>
  <c r="F29" i="53"/>
  <c r="F25" i="53"/>
  <c r="F32" i="53"/>
  <c r="F35" i="53"/>
  <c r="F31" i="53"/>
  <c r="F27" i="53"/>
  <c r="F26" i="53"/>
  <c r="F24" i="53"/>
  <c r="F23" i="53"/>
  <c r="F33" i="53"/>
  <c r="F28" i="53"/>
  <c r="Y47" i="73" a="1"/>
  <c r="Y47" i="73" s="1"/>
  <c r="Z47" i="73" s="1"/>
  <c r="Y48" i="73" a="1"/>
  <c r="Y48" i="73" s="1"/>
  <c r="Z48" i="73" s="1"/>
  <c r="X45" i="73" a="1"/>
  <c r="X45" i="73" s="1"/>
  <c r="Y49" i="73" a="1"/>
  <c r="Y49" i="73" s="1"/>
  <c r="X46" i="73" a="1"/>
  <c r="X46" i="73" s="1"/>
  <c r="Y42" i="73" a="1"/>
  <c r="Y42" i="73" s="1"/>
  <c r="Z30" i="73" a="1"/>
  <c r="Z30" i="73" s="1"/>
  <c r="X49" i="73" a="1"/>
  <c r="X49" i="73" s="1"/>
  <c r="Z49" i="73" s="1"/>
  <c r="X42" i="73" a="1"/>
  <c r="X42" i="73" s="1"/>
  <c r="Y45" i="73" a="1"/>
  <c r="Y45" i="73" s="1"/>
  <c r="X43" i="73" a="1"/>
  <c r="X43" i="73" s="1"/>
  <c r="Z43" i="73" s="1"/>
  <c r="T130" i="72" l="1"/>
  <c r="T119" i="72"/>
  <c r="T127" i="72"/>
  <c r="R127" i="72"/>
  <c r="S127" i="72" s="1"/>
  <c r="T126" i="72"/>
  <c r="T116" i="72"/>
  <c r="Z46" i="73"/>
  <c r="R134" i="72"/>
  <c r="S134" i="72" s="1"/>
  <c r="T131" i="72"/>
  <c r="T134" i="72"/>
  <c r="Q134" i="72"/>
  <c r="T120" i="72"/>
  <c r="T118" i="72"/>
  <c r="T122" i="72"/>
  <c r="T129" i="72"/>
  <c r="J5" i="58"/>
  <c r="Z45" i="73"/>
  <c r="Z42" i="7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MyOECD</author>
  </authors>
  <commentList>
    <comment ref="J6" authorId="0" shapeId="0" xr:uid="{F7B1FF7B-2EF1-4545-BF9A-E0526E5DB794}">
      <text>
        <r>
          <rPr>
            <sz val="9"/>
            <color indexed="81"/>
            <rFont val="Tahoma"/>
            <family val="2"/>
          </rPr>
          <t>u: Estimación no fiable (número de casos muestrales menor a 60, grados de libertad menores a 9 o coeficiente de variación mayor a 30%)</t>
        </r>
      </text>
    </comment>
    <comment ref="J7" authorId="0" shapeId="0" xr:uid="{FEE8D249-DCBA-4B83-A9BD-A61C7DA882A5}">
      <text>
        <r>
          <rPr>
            <sz val="9"/>
            <color indexed="81"/>
            <rFont val="Tahoma"/>
            <family val="2"/>
          </rPr>
          <t>u: Estimación no fiable (número de casos muestrales menor a 60, grados de libertad menores a 9 o coeficiente de variación mayor a 30%)</t>
        </r>
      </text>
    </comment>
    <comment ref="J8" authorId="0" shapeId="0" xr:uid="{B6D8D731-3AF9-4AAD-80E1-4DEE8DFA6802}">
      <text>
        <r>
          <rPr>
            <sz val="9"/>
            <color indexed="81"/>
            <rFont val="Tahoma"/>
            <family val="2"/>
          </rPr>
          <t>u: Estimación no fiable (número de casos muestrales menor a 60, grados de libertad menores a 9 o coeficiente de variación mayor a 30%)</t>
        </r>
      </text>
    </comment>
    <comment ref="J9" authorId="0" shapeId="0" xr:uid="{12146C98-B6CE-4402-8B74-10E8A17D317A}">
      <text>
        <r>
          <rPr>
            <sz val="9"/>
            <color indexed="81"/>
            <rFont val="Tahoma"/>
            <family val="2"/>
          </rPr>
          <t>u: Estimación no fiable (número de casos muestrales menor a 60, grados de libertad menores a 9 o coeficiente de variación mayor a 30%)</t>
        </r>
      </text>
    </comment>
    <comment ref="J10" authorId="0" shapeId="0" xr:uid="{FDE32151-1D76-49E2-B5D0-57F6508611E9}">
      <text>
        <r>
          <rPr>
            <sz val="9"/>
            <color indexed="81"/>
            <rFont val="Tahoma"/>
            <family val="2"/>
          </rPr>
          <t>u: Estimación no fiable (número de casos muestrales menor a 60, grados de libertad menores a 9 o coeficiente de variación mayor a 30%)</t>
        </r>
      </text>
    </comment>
    <comment ref="J11" authorId="0" shapeId="0" xr:uid="{75E28CE7-0918-408A-BBF0-4E13FAEEEB99}">
      <text>
        <r>
          <rPr>
            <sz val="9"/>
            <color indexed="81"/>
            <rFont val="Tahoma"/>
            <family val="2"/>
          </rPr>
          <t>u: Estimación no fiable (número de casos muestrales menor a 60, grados de libertad menores a 9 o coeficiente de variación mayor a 30%)</t>
        </r>
      </text>
    </comment>
    <comment ref="J12" authorId="0" shapeId="0" xr:uid="{28F9D6B9-3E8F-40AD-8992-A1B27CC1BAC7}">
      <text>
        <r>
          <rPr>
            <sz val="9"/>
            <color indexed="81"/>
            <rFont val="Tahoma"/>
            <family val="2"/>
          </rPr>
          <t>u: Estimación no fiable (número de casos muestrales menor a 60, grados de libertad menores a 9 o coeficiente de variación mayor a 30%)</t>
        </r>
      </text>
    </comment>
    <comment ref="J13" authorId="0" shapeId="0" xr:uid="{7DBAC18B-2505-46FE-9453-6E738460117E}">
      <text>
        <r>
          <rPr>
            <sz val="9"/>
            <color indexed="81"/>
            <rFont val="Tahoma"/>
            <family val="2"/>
          </rPr>
          <t>u: Estimación no fiable (número de casos muestrales menor a 60, grados de libertad menores a 9 o coeficiente de variación mayor a 30%)</t>
        </r>
      </text>
    </comment>
    <comment ref="J14" authorId="0" shapeId="0" xr:uid="{52AB3461-EFA1-462E-A940-3586B217FEA9}">
      <text>
        <r>
          <rPr>
            <sz val="9"/>
            <color indexed="81"/>
            <rFont val="Tahoma"/>
            <family val="2"/>
          </rPr>
          <t>u: Estimación no fiable (número de casos muestrales menor a 60, grados de libertad menores a 9 o coeficiente de variación mayor a 30%)</t>
        </r>
      </text>
    </comment>
    <comment ref="J15" authorId="0" shapeId="0" xr:uid="{50027E3D-CE0C-40BC-8A04-BEA074245CFB}">
      <text>
        <r>
          <rPr>
            <sz val="9"/>
            <color indexed="81"/>
            <rFont val="Tahoma"/>
            <family val="2"/>
          </rPr>
          <t>u: Estimación no fiable (número de casos muestrales menor a 60, grados de libertad menores a 9 o coeficiente de variación mayor a 30%)</t>
        </r>
      </text>
    </comment>
    <comment ref="J16" authorId="0" shapeId="0" xr:uid="{EEB60783-BD5C-4824-9ACF-441458AC93FC}">
      <text>
        <r>
          <rPr>
            <sz val="9"/>
            <color indexed="81"/>
            <rFont val="Tahoma"/>
            <family val="2"/>
          </rPr>
          <t>u: Estimación no fiable (número de casos muestrales menor a 60, grados de libertad menores a 9 o coeficiente de variación mayor a 30%)</t>
        </r>
      </text>
    </comment>
    <comment ref="J17" authorId="0" shapeId="0" xr:uid="{06099363-1B59-4739-91AE-D6003431BDAF}">
      <text>
        <r>
          <rPr>
            <sz val="9"/>
            <color indexed="81"/>
            <rFont val="Tahoma"/>
            <family val="2"/>
          </rPr>
          <t>u: Estimación no fiable (número de casos muestrales menor a 60, grados de libertad menores a 9 o coeficiente de variación mayor a 30%)</t>
        </r>
      </text>
    </comment>
    <comment ref="J18" authorId="0" shapeId="0" xr:uid="{422AE224-8FF8-4BF5-AE65-D7CEB970ED39}">
      <text>
        <r>
          <rPr>
            <sz val="9"/>
            <color indexed="81"/>
            <rFont val="Tahoma"/>
            <family val="2"/>
          </rPr>
          <t>u: Estimación no fiable (número de casos muestrales menor a 60, grados de libertad menores a 9 o coeficiente de variación mayor a 30%)</t>
        </r>
      </text>
    </comment>
    <comment ref="J19" authorId="0" shapeId="0" xr:uid="{17E3D80D-B13A-4F81-B104-C3C69C322E4A}">
      <text>
        <r>
          <rPr>
            <sz val="9"/>
            <color indexed="81"/>
            <rFont val="Tahoma"/>
            <family val="2"/>
          </rPr>
          <t>u: Estimación no fiable (número de casos muestrales menor a 60, grados de libertad menores a 9 o coeficiente de variación mayor a 30%)</t>
        </r>
      </text>
    </comment>
    <comment ref="J20" authorId="0" shapeId="0" xr:uid="{95EAEC00-492C-4F41-A8F4-E0C5C89C1083}">
      <text>
        <r>
          <rPr>
            <sz val="9"/>
            <color indexed="81"/>
            <rFont val="Tahoma"/>
            <family val="2"/>
          </rPr>
          <t>u: Estimación no fiable (número de casos muestrales menor a 60, grados de libertad menores a 9 o coeficiente de variación mayor a 30%)</t>
        </r>
      </text>
    </comment>
    <comment ref="J21" authorId="0" shapeId="0" xr:uid="{78B0736A-13E8-498F-A618-735748286CD0}">
      <text>
        <r>
          <rPr>
            <sz val="9"/>
            <color indexed="81"/>
            <rFont val="Tahoma"/>
            <family val="2"/>
          </rPr>
          <t>u: Estimación no fiable (número de casos muestrales menor a 60, grados de libertad menores a 9 o coeficiente de variación mayor a 30%)</t>
        </r>
      </text>
    </comment>
    <comment ref="J22" authorId="0" shapeId="0" xr:uid="{5945794F-E390-4BA2-AC6A-DA3800E06B52}">
      <text>
        <r>
          <rPr>
            <sz val="9"/>
            <color indexed="81"/>
            <rFont val="Tahoma"/>
            <family val="2"/>
          </rPr>
          <t>u: Estimación no fiable (número de casos muestrales menor a 60, grados de libertad menores a 9 o coeficiente de variación mayor a 30%)</t>
        </r>
      </text>
    </comment>
    <comment ref="J23" authorId="0" shapeId="0" xr:uid="{34E6B100-1DD2-4277-8D40-F197B445F6C3}">
      <text>
        <r>
          <rPr>
            <sz val="9"/>
            <color indexed="81"/>
            <rFont val="Tahoma"/>
            <family val="2"/>
          </rPr>
          <t>u: Estimación no fiable (número de casos muestrales menor a 60, grados de libertad menores a 9 o coeficiente de variación mayor a 30%)</t>
        </r>
      </text>
    </comment>
    <comment ref="J24" authorId="0" shapeId="0" xr:uid="{275D4810-7DFA-4104-9F71-C58B744389C9}">
      <text>
        <r>
          <rPr>
            <sz val="9"/>
            <color indexed="81"/>
            <rFont val="Tahoma"/>
            <family val="2"/>
          </rPr>
          <t>u: Estimación no fiable (número de casos muestrales menor a 60, grados de libertad menores a 9 o coeficiente de variación mayor a 30%)</t>
        </r>
      </text>
    </comment>
    <comment ref="J25" authorId="0" shapeId="0" xr:uid="{9C266701-71A9-4F99-BB1A-EFCBD9D52E8B}">
      <text>
        <r>
          <rPr>
            <sz val="9"/>
            <color indexed="81"/>
            <rFont val="Tahoma"/>
            <family val="2"/>
          </rPr>
          <t>u: Estimación no fiable (número de casos muestrales menor a 60, grados de libertad menores a 9 o coeficiente de variación mayor a 30%)</t>
        </r>
      </text>
    </comment>
    <comment ref="J26" authorId="0" shapeId="0" xr:uid="{B37BFF47-DE3B-4EE3-BE41-F4C25F4E0BB2}">
      <text>
        <r>
          <rPr>
            <sz val="9"/>
            <color indexed="81"/>
            <rFont val="Tahoma"/>
            <family val="2"/>
          </rPr>
          <t>u: Estimación no fiable (número de casos muestrales menor a 60, grados de libertad menores a 9 o coeficiente de variación mayor a 30%)</t>
        </r>
      </text>
    </comment>
    <comment ref="J27" authorId="0" shapeId="0" xr:uid="{2C34195F-8B0F-4305-9CBC-CB0A83D18A96}">
      <text>
        <r>
          <rPr>
            <sz val="9"/>
            <color indexed="81"/>
            <rFont val="Tahoma"/>
            <family val="2"/>
          </rPr>
          <t>u: Estimación no fiable (número de casos muestrales menor a 60, grados de libertad menores a 9 o coeficiente de variación mayor a 30%)</t>
        </r>
      </text>
    </comment>
    <comment ref="J28" authorId="0" shapeId="0" xr:uid="{4B84835A-7639-4297-AD44-C5BAC2B8823B}">
      <text>
        <r>
          <rPr>
            <sz val="9"/>
            <color indexed="81"/>
            <rFont val="Tahoma"/>
            <family val="2"/>
          </rPr>
          <t>u: Estimación no fiable (número de casos muestrales menor a 60, grados de libertad menores a 9 o coeficiente de variación mayor a 30%)</t>
        </r>
      </text>
    </comment>
    <comment ref="J29" authorId="0" shapeId="0" xr:uid="{B029BAE0-7D4A-4CD0-9FBC-E9B91C94B15C}">
      <text>
        <r>
          <rPr>
            <sz val="9"/>
            <color indexed="81"/>
            <rFont val="Tahoma"/>
            <family val="2"/>
          </rPr>
          <t>u: Estimación no fiable (número de casos muestrales menor a 60, grados de libertad menores a 9 o coeficiente de variación mayor a 30%)</t>
        </r>
      </text>
    </comment>
    <comment ref="J30" authorId="0" shapeId="0" xr:uid="{3F34868E-5876-433F-B8DC-A909D0F958FC}">
      <text>
        <r>
          <rPr>
            <sz val="9"/>
            <color indexed="81"/>
            <rFont val="Tahoma"/>
            <family val="2"/>
          </rPr>
          <t>u: Estimación no fiable (número de casos muestrales menor a 60, grados de libertad menores a 9 o coeficiente de variación mayor a 30%)</t>
        </r>
      </text>
    </comment>
    <comment ref="J31" authorId="0" shapeId="0" xr:uid="{F4B77527-CFDD-4F46-AD05-504B2E92BE66}">
      <text>
        <r>
          <rPr>
            <sz val="9"/>
            <color indexed="81"/>
            <rFont val="Tahoma"/>
            <family val="2"/>
          </rPr>
          <t>u: Estimación no fiable (número de casos muestrales menor a 60, grados de libertad menores a 9 o coeficiente de variación mayor a 30%)</t>
        </r>
      </text>
    </comment>
    <comment ref="J32" authorId="0" shapeId="0" xr:uid="{048C806C-2C88-4E70-A558-C3ED77611896}">
      <text>
        <r>
          <rPr>
            <sz val="9"/>
            <color indexed="81"/>
            <rFont val="Tahoma"/>
            <family val="2"/>
          </rPr>
          <t>u: Estimación no fiable (número de casos muestrales menor a 60, grados de libertad menores a 9 o coeficiente de variación mayor a 30%)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tc={3AE9E2A9-A37B-4574-9B79-A41036A3B039}</author>
  </authors>
  <commentList>
    <comment ref="W36" authorId="0" shapeId="0" xr:uid="{3AE9E2A9-A37B-4574-9B79-A41036A3B039}">
      <text>
        <t>[Comentario encadenado]
Su versión de Excel le permite leer este comentario encadenado; sin embargo, las ediciones que se apliquen se quitarán si el archivo se abre en una versión más reciente de Excel. Más información: https://go.microsoft.com/fwlink/?linkid=870924
Comentario:
    No se reportan personas ocupadas con este nivel educacional. Por esto, se decide no mostrar en figuras para no sesgar la comparación.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<sst xmlns="http://schemas.openxmlformats.org/spreadsheetml/2006/main" count="4491" uniqueCount="702">
  <si>
    <t>Beneficios</t>
  </si>
  <si>
    <t>PBS Vejez</t>
  </si>
  <si>
    <t>PBS Invalidez</t>
  </si>
  <si>
    <t>APS Vejez</t>
  </si>
  <si>
    <t>APS Invalidez</t>
  </si>
  <si>
    <t>Total</t>
  </si>
  <si>
    <t>Año</t>
  </si>
  <si>
    <t>APS de Vejez</t>
  </si>
  <si>
    <t>APS de Invalidez</t>
  </si>
  <si>
    <t xml:space="preserve">TOTAL </t>
  </si>
  <si>
    <t>Monto de la PMAS</t>
  </si>
  <si>
    <t>APSV</t>
  </si>
  <si>
    <t>PBSV</t>
  </si>
  <si>
    <t xml:space="preserve">PBSV </t>
  </si>
  <si>
    <t xml:space="preserve">PBSI </t>
  </si>
  <si>
    <t xml:space="preserve">APSI </t>
  </si>
  <si>
    <t>01.09.09 al 30.06.10</t>
  </si>
  <si>
    <t>01.07.10 al 30.06.11</t>
  </si>
  <si>
    <t>01.07.11 al 30.06.12</t>
  </si>
  <si>
    <t>01.07.12 al 30.06.13</t>
  </si>
  <si>
    <t>01.07.13 al 30.06.14</t>
  </si>
  <si>
    <t>01.07.14 al 30.06.15</t>
  </si>
  <si>
    <t>01.07.15 al 30.06.16</t>
  </si>
  <si>
    <t>01.07.16 al 31.12.16</t>
  </si>
  <si>
    <t>01.01.17 al 30.06.17</t>
  </si>
  <si>
    <t>01.07.17 al 30.06.18</t>
  </si>
  <si>
    <t>01.07.18 al 30.06.19</t>
  </si>
  <si>
    <t>01.07.08 al 30.06.09</t>
  </si>
  <si>
    <t>01.07.09 al 31.08.9</t>
  </si>
  <si>
    <t>Mujeres</t>
  </si>
  <si>
    <t>Hombres</t>
  </si>
  <si>
    <t>Cobertura</t>
  </si>
  <si>
    <t>01.12.19 al 30.06.20</t>
  </si>
  <si>
    <t>01.07.19 al 30.11.19</t>
  </si>
  <si>
    <t>Tramos edad</t>
  </si>
  <si>
    <t>Número Beneficios Vejez/Poblacion 65 años y más</t>
  </si>
  <si>
    <t>PBS de invalidez</t>
  </si>
  <si>
    <t>Periodo de vigencia</t>
  </si>
  <si>
    <t>01.07.20 al 31.12.20</t>
  </si>
  <si>
    <t>01.01.21 al 30.06.21</t>
  </si>
  <si>
    <t>PBS de vejez</t>
  </si>
  <si>
    <t>Nbis*</t>
  </si>
  <si>
    <t>Años</t>
  </si>
  <si>
    <t>01.07.21 al 31.12.21</t>
  </si>
  <si>
    <t>PGU</t>
  </si>
  <si>
    <t>Requisito de focalización</t>
  </si>
  <si>
    <t>40% población total del país</t>
  </si>
  <si>
    <t>45% población total del país</t>
  </si>
  <si>
    <t>50% población total del país</t>
  </si>
  <si>
    <t>55% población total del país</t>
  </si>
  <si>
    <t>60% población total del país</t>
  </si>
  <si>
    <t>90% población 65 años o más</t>
  </si>
  <si>
    <t>01.02.23 al 31.03.23</t>
  </si>
  <si>
    <t>90% población total del país</t>
  </si>
  <si>
    <t>01.08.22 al 31.01.23</t>
  </si>
  <si>
    <t>01.01.22 al 31.01.22</t>
  </si>
  <si>
    <t>01.06.22 al 31.01.23</t>
  </si>
  <si>
    <t>-</t>
  </si>
  <si>
    <t>1)</t>
  </si>
  <si>
    <t>2)</t>
  </si>
  <si>
    <t>Subsecretaría de Previsión Social</t>
  </si>
  <si>
    <t>Tipo de beneficio</t>
  </si>
  <si>
    <t>% de total</t>
  </si>
  <si>
    <t>Número</t>
  </si>
  <si>
    <t>Periodo</t>
  </si>
  <si>
    <t>Población de 65 años y más</t>
  </si>
  <si>
    <t>Total invalidez</t>
  </si>
  <si>
    <t>PIB per capita mensual</t>
  </si>
  <si>
    <t>Suficiencia: Beneficio/PIB per cápita</t>
  </si>
  <si>
    <t>Tablas</t>
  </si>
  <si>
    <t>Tabla 1</t>
  </si>
  <si>
    <t>Tabla 2</t>
  </si>
  <si>
    <t>Tabla 3</t>
  </si>
  <si>
    <t>Tabla 4</t>
  </si>
  <si>
    <t>Tabla 5</t>
  </si>
  <si>
    <t>Tabla 6</t>
  </si>
  <si>
    <t>Tabla 7</t>
  </si>
  <si>
    <t>Tabla 8</t>
  </si>
  <si>
    <t>Tabla 9</t>
  </si>
  <si>
    <t>Figuras</t>
  </si>
  <si>
    <t>Figura 1</t>
  </si>
  <si>
    <t>Figura 2</t>
  </si>
  <si>
    <t>Figura 3</t>
  </si>
  <si>
    <t>Figura 4</t>
  </si>
  <si>
    <t>Figura 5</t>
  </si>
  <si>
    <t>Figura 6</t>
  </si>
  <si>
    <t>Figura 7</t>
  </si>
  <si>
    <t>Figura 8</t>
  </si>
  <si>
    <t>Secretaría Técnica Consejo Consultivo Previsional</t>
  </si>
  <si>
    <t>ÍNDICE</t>
  </si>
  <si>
    <t>Población</t>
  </si>
  <si>
    <t>Beneficiarios</t>
  </si>
  <si>
    <t>18 a 64</t>
  </si>
  <si>
    <t>65 +</t>
  </si>
  <si>
    <t>Totales</t>
  </si>
  <si>
    <t>Invalidez</t>
  </si>
  <si>
    <t>Vejez</t>
  </si>
  <si>
    <t>Porcentajes</t>
  </si>
  <si>
    <t>Población  de 18 a 64 años</t>
  </si>
  <si>
    <t>Total Invalidez</t>
  </si>
  <si>
    <t>Total Vejez</t>
  </si>
  <si>
    <t>Monto de la PBS de vejez o PGU máxima</t>
  </si>
  <si>
    <t>Desde los 65 años</t>
  </si>
  <si>
    <t>Entre 65 y &lt;75 años</t>
  </si>
  <si>
    <t>75 - 79 años</t>
  </si>
  <si>
    <t>Desde los 80 años</t>
  </si>
  <si>
    <t>Entre 65 y 74 años</t>
  </si>
  <si>
    <t>Desde los 75 años</t>
  </si>
  <si>
    <t>Introducción de la PGU*</t>
  </si>
  <si>
    <t>01.02.22 al 31.05.23</t>
  </si>
  <si>
    <t>01.06.22 al 31.07.23</t>
  </si>
  <si>
    <t>01.04.23 al 31.01.24</t>
  </si>
  <si>
    <t>Monto de la PBS de invalidez</t>
  </si>
  <si>
    <t>01.02.22 al 31.05.22</t>
  </si>
  <si>
    <t>80% población total del país</t>
  </si>
  <si>
    <t>01.02.23 al 31.01.24</t>
  </si>
  <si>
    <t>Producto Interno Bruto (PIB)</t>
  </si>
  <si>
    <t xml:space="preserve">Gasto Anual Total </t>
  </si>
  <si>
    <t xml:space="preserve">Gasto </t>
  </si>
  <si>
    <t>(% PIB)</t>
  </si>
  <si>
    <t>Número al cierre de cada año</t>
  </si>
  <si>
    <t>Número a diciembre de cada año</t>
  </si>
  <si>
    <t>$ millones de cada año</t>
  </si>
  <si>
    <t>Porcentaje</t>
  </si>
  <si>
    <t>(5)/(2)</t>
  </si>
  <si>
    <t>(6)/(3)</t>
  </si>
  <si>
    <t>(10)/(9)</t>
  </si>
  <si>
    <t>Figura 4: Porcentaje de la población de 65 años y más cubierta por el SPS</t>
  </si>
  <si>
    <t xml:space="preserve">Vejez </t>
  </si>
  <si>
    <t>Beneficio</t>
  </si>
  <si>
    <t xml:space="preserve">                    -   </t>
  </si>
  <si>
    <t xml:space="preserve">                  -   </t>
  </si>
  <si>
    <t xml:space="preserve"> $                    - </t>
  </si>
  <si>
    <t xml:space="preserve">$                    - </t>
  </si>
  <si>
    <t>%</t>
  </si>
  <si>
    <t xml:space="preserve">Año </t>
  </si>
  <si>
    <t xml:space="preserve"> PBS Invalidez </t>
  </si>
  <si>
    <t xml:space="preserve"> APS Invalidez </t>
  </si>
  <si>
    <t xml:space="preserve"> PBS Vejez  </t>
  </si>
  <si>
    <t xml:space="preserve"> APS Vejez</t>
  </si>
  <si>
    <t xml:space="preserve"> NBIS </t>
  </si>
  <si>
    <t xml:space="preserve"> PGU </t>
  </si>
  <si>
    <t xml:space="preserve"> Gasto total del Sistema </t>
  </si>
  <si>
    <t>Gasto total (% PIB)</t>
  </si>
  <si>
    <t>% del PIB</t>
  </si>
  <si>
    <r>
      <rPr>
        <b/>
        <sz val="14"/>
        <color theme="1"/>
        <rFont val="Calibri"/>
        <family val="2"/>
        <scheme val="minor"/>
      </rPr>
      <t>Tasa de concesión de solicitudes anual por tipo de beneficio (beneficios SPS y PGU)*</t>
    </r>
    <r>
      <rPr>
        <b/>
        <sz val="11"/>
        <color theme="1"/>
        <rFont val="Calibri"/>
        <family val="2"/>
        <scheme val="minor"/>
      </rPr>
      <t xml:space="preserve">
</t>
    </r>
  </si>
  <si>
    <t>SPS y PGU</t>
  </si>
  <si>
    <t>*Corresponde a la tasa de concesión de solicitudes. Entendiendo que una persona puede realizar más de una solicitud, este dato no corresponde al número de personas a quienes se le ha concedido el beneficio sobre el total de personas que ha solicitado el beneficio. El denominador es mayor dado las personas que tramitan solicitudes en más de una oportunidad.
No incluye ex pasis.</t>
  </si>
  <si>
    <t>Solicitudes ingresadas</t>
  </si>
  <si>
    <t>Por tipo de beneficio</t>
  </si>
  <si>
    <t>01.02.24 al 31.01.25</t>
  </si>
  <si>
    <t>https://www.spensiones.cl/apps/centroEstadisticas/paginaCuadrosCCEE.php?menu=sest&amp;menuN1=sistpens&amp;menuN2=pilar</t>
  </si>
  <si>
    <t>https://si3.bcentral.cl/Siete/ES/Siete/Cuadro/CAP_CCNN/MN_CCNN76/CCNN2018_P0_V2/637801082315858005?cbFechaInicio=2008&amp;cbFechaTermino=2024&amp;cbFrecuencia=ANNUAL&amp;cbCalculo=NONE&amp;cbFechaBase=</t>
  </si>
  <si>
    <t>Nota: Beneficios de invalidez siempre se han entregado a personas entre 18 y 64 años. 
Fuente: Elaboración propia a partir de la normativa legal.</t>
  </si>
  <si>
    <t>Tabla 6: Total de beneficiarios de invalidez y población de 18 a 64 años</t>
  </si>
  <si>
    <t>Tabla 1: Evolución de cifras principales del Sistema de Pensiones Solidarias</t>
  </si>
  <si>
    <t>Tabla 7: Gasto anual nominal del Sistema de Pensiones Solidarias (milllones de pesos de cada año)</t>
  </si>
  <si>
    <t>APSV**</t>
  </si>
  <si>
    <t>Total (concedidas + rechazadas)</t>
  </si>
  <si>
    <t>b: estimación no fiable (número de casos muestrales menor a 60, grados de libertad menores a 9 o coeficiente de variación mayor a 30%)</t>
  </si>
  <si>
    <t>a: estimación poco fiable (coeficiente de variación mayor a 15% y menor o igual a 30%. En el caso de estimaciones de razón, si no cumple con el umbral de aceptación asociado a su error estándar)</t>
  </si>
  <si>
    <t>Fuente: Encuesta Nacional de Empleo, INE-Chile.</t>
  </si>
  <si>
    <t>Ene - Mar</t>
  </si>
  <si>
    <t>Dic - Feb</t>
  </si>
  <si>
    <t>Nov - Ene</t>
  </si>
  <si>
    <t>Oct - Dic</t>
  </si>
  <si>
    <t>Sep - Nov</t>
  </si>
  <si>
    <t>Ago - Oct</t>
  </si>
  <si>
    <t>Jul - Sep</t>
  </si>
  <si>
    <t>Jun - Ago</t>
  </si>
  <si>
    <t>May - Jul</t>
  </si>
  <si>
    <t>Abr - Jun</t>
  </si>
  <si>
    <t>Mar - May</t>
  </si>
  <si>
    <t>Feb - Abr</t>
  </si>
  <si>
    <t>Ambos sexos</t>
  </si>
  <si>
    <t>trimestre</t>
  </si>
  <si>
    <t>Trimestre</t>
  </si>
  <si>
    <t>Ambos sexos, hombres y mujeres</t>
  </si>
  <si>
    <t>Nacional</t>
  </si>
  <si>
    <t>SERIE: TOTAL DE PERSONAS OCUPADAS FORMALES E INFORMALES Y TASA DE OCUPACIÓN INFORMAL POR SEXO SEGÚN TRIMESTRE</t>
  </si>
  <si>
    <t>/3 El total de personal de servicio doméstico incluye tanto puertas adentro como puertas afuera.</t>
  </si>
  <si>
    <t>/2 Esta categoría incluye a todas las personas asalariadas que trabajan no sólo en la Administración Pública, sino que también en cualquier institución o empresa del Estado.</t>
  </si>
  <si>
    <t>/1 Según adaptación chilena de la Clasificación Internacional de Situación en el Empleo, CISE-93.</t>
  </si>
  <si>
    <t>Personal de servicio doméstico</t>
  </si>
  <si>
    <t>Asalariados sector público</t>
  </si>
  <si>
    <t>Asalariados sector privado</t>
  </si>
  <si>
    <t xml:space="preserve">Familiares no remunerados </t>
  </si>
  <si>
    <t xml:space="preserve">Trabajadores cuenta propia </t>
  </si>
  <si>
    <t>Empleadores</t>
  </si>
  <si>
    <t>Total de personas ocupadas (informales)</t>
  </si>
  <si>
    <t>Ambos sexos (AS)</t>
  </si>
  <si>
    <t>SERIE: TOTAL DE PERSONAS OCUPADAS FORMALES E INFORMALES POR CATEGORÍA EN LA OCUPACIÓN /1 SEGÚN TRIMESTRE</t>
  </si>
  <si>
    <t/>
  </si>
  <si>
    <t>Personal de servicio doméstico (informales)</t>
  </si>
  <si>
    <t>Asalariados sector público (informales)</t>
  </si>
  <si>
    <t>Asalariados sector privado (informales)</t>
  </si>
  <si>
    <t>Familiares no remunerados  (informales)</t>
  </si>
  <si>
    <t>Trabajadores cuenta propia  (informales)</t>
  </si>
  <si>
    <t>Empleadores (informales)</t>
  </si>
  <si>
    <t>Total ocupadas</t>
  </si>
  <si>
    <t>Personal de servicio doméstico /3 (formales)</t>
  </si>
  <si>
    <t>Asalariados del sector público /2 (formales)</t>
  </si>
  <si>
    <t>Asalariados del sector privado (formales)</t>
  </si>
  <si>
    <t>Trabajadores por cuenta propia (formales)</t>
  </si>
  <si>
    <t>Empleadores (formales)</t>
  </si>
  <si>
    <t>Total de personas ocupadas (formales)</t>
  </si>
  <si>
    <t>en miles</t>
  </si>
  <si>
    <t>/3 A contar de la submuestra de enero 2020 el cuestionario central de la ENE permite la alternativa No sabe/No responde.</t>
  </si>
  <si>
    <t>/2 Las estimaciones para el total de personas ocupadas formales e informales por rama de actividad económica de la empresa que paga se realizan utilizando la variable "r_p_rev4cl_caenes" de la base de datos.</t>
  </si>
  <si>
    <t>https://www.ine.gob.cl/docs/default-source/buenas-practicas/clasificaciones/caenes/clasificador/caenes.pdf</t>
  </si>
  <si>
    <t>/1 Según Clasificador de Actividades Económicas Nacional para Encuestas Sociodemográficas (CAENES), adaptación del Clasificador Chileno de Actividades Económicas CIIU4.CL 2012. Disponible en:</t>
  </si>
  <si>
    <t>b</t>
  </si>
  <si>
    <t>a</t>
  </si>
  <si>
    <t>Hogares</t>
  </si>
  <si>
    <t>Otras actividades de servicios</t>
  </si>
  <si>
    <t>Agricultura</t>
  </si>
  <si>
    <t>Construcción</t>
  </si>
  <si>
    <t>Comercio</t>
  </si>
  <si>
    <t>Hotelería y gastronomía</t>
  </si>
  <si>
    <t xml:space="preserve">Transporte y almacenamiento </t>
  </si>
  <si>
    <t>Manufacturas</t>
  </si>
  <si>
    <t>Servicios administrativos</t>
  </si>
  <si>
    <t>Agua</t>
  </si>
  <si>
    <t>Inmobiliario</t>
  </si>
  <si>
    <t>Organizaciones</t>
  </si>
  <si>
    <t>Actividades profesionales</t>
  </si>
  <si>
    <t>Enseñanza</t>
  </si>
  <si>
    <t>Información y comunicaciones</t>
  </si>
  <si>
    <t>Energía</t>
  </si>
  <si>
    <t>Minería</t>
  </si>
  <si>
    <t>Sector financiero</t>
  </si>
  <si>
    <t>rama</t>
  </si>
  <si>
    <t>Actividades de organizaciones y órganos extraterritoriales (informales)</t>
  </si>
  <si>
    <t>Actividades artísticas, de entretenimiento y recreativas</t>
  </si>
  <si>
    <t xml:space="preserve">Actividades de atención de la salud humana y de asistencia social </t>
  </si>
  <si>
    <t>Administración pública y defensa</t>
  </si>
  <si>
    <t>Explotación de minas y canteras (informales)</t>
  </si>
  <si>
    <t xml:space="preserve">Salud humana y de asistencia social </t>
  </si>
  <si>
    <t>No sabe / No responde (informales) /3</t>
  </si>
  <si>
    <t>Actividades de los hogares como empleadores (informales)</t>
  </si>
  <si>
    <t>Otras actividades de servicios (informales)</t>
  </si>
  <si>
    <t>Actividades artísticas, de entretenimiento y recreativas (informales)</t>
  </si>
  <si>
    <t>Actividades de atención de la salud humana y de asistencia social (informales)</t>
  </si>
  <si>
    <t>Enseñanza (informales)</t>
  </si>
  <si>
    <t>Administración pública y defensa (informales)</t>
  </si>
  <si>
    <t>Actividades de servicios administrativos y de apoyo (informales)</t>
  </si>
  <si>
    <t>Actividades profesionales, científicas y técnicas (informales)</t>
  </si>
  <si>
    <t>Actividades inmobiliarias (informales)</t>
  </si>
  <si>
    <t>Actividades financieras y de seguros (informales)</t>
  </si>
  <si>
    <t>Información y comunicaciones (informales)</t>
  </si>
  <si>
    <t>Actividades de alojamiento y de servicio de comidas (informales)</t>
  </si>
  <si>
    <t>Transporte y almacenamiento (informales)</t>
  </si>
  <si>
    <t>Comercio al por mayor y al por menor (informales)</t>
  </si>
  <si>
    <t>Construcción (informales)</t>
  </si>
  <si>
    <t>Suministro de agua (informales)</t>
  </si>
  <si>
    <t>Suministro de electricidad, gas, vapor y aire acondicionado (informales)</t>
  </si>
  <si>
    <t>Industrias manufactureras (informales)</t>
  </si>
  <si>
    <t>Agricultura, ganadería, silvicultura y pesca (informales)</t>
  </si>
  <si>
    <t>No sabe / No responde (formales) /2</t>
  </si>
  <si>
    <t>Actividades de organizaciones y órganos extraterritoriales (formales)</t>
  </si>
  <si>
    <t>Actividades de los hogares como empleadores (formales)</t>
  </si>
  <si>
    <t>Otras actividades de servicios (formales)</t>
  </si>
  <si>
    <t>Actividades artísticas, de entretenimiento y recreativas (formales)</t>
  </si>
  <si>
    <t>Actividades de atención de la salud humana y de asistencia social (formales)</t>
  </si>
  <si>
    <t>Enseñanza (formales)</t>
  </si>
  <si>
    <t>Administración pública y defensa (formales)</t>
  </si>
  <si>
    <t>Actividades de servicios administrativos y de apoyo (formales)</t>
  </si>
  <si>
    <t>Actividades profesionales, científicas y técnicas (formales)</t>
  </si>
  <si>
    <t>Actividades inmobiliarias (formales)</t>
  </si>
  <si>
    <t>Actividades financieras y de seguros (formales)</t>
  </si>
  <si>
    <t>Información y comunicaciones (formales)</t>
  </si>
  <si>
    <t>Actividades de alojamiento y de servicio de comidas (formales)</t>
  </si>
  <si>
    <t>Transporte y almacenamiento (formales)</t>
  </si>
  <si>
    <t>Comercio al por mayor y al por menor (formales)</t>
  </si>
  <si>
    <t>Construcción (formales)</t>
  </si>
  <si>
    <t>Suministro de agua (formales)</t>
  </si>
  <si>
    <t>Suministro de electricidad, gas, vapor y aire acondicionado (formales)</t>
  </si>
  <si>
    <t>Industrias manufactureras (formales)</t>
  </si>
  <si>
    <t>Explotación de minas y canteras (formales)</t>
  </si>
  <si>
    <t>Agricultura, ganadería, silvicultura y pesca (formales)</t>
  </si>
  <si>
    <t>SERIE: TOTAL DE PERSONAS OCUPADAS FORMALES E INFORMALES POR RAMA DE ACTIVIDAD ECONÓMICA DE LA EMPRESA QUE PAGA, SEGÚN TRIMESTRE /1 /2</t>
  </si>
  <si>
    <t>Estimación no fiable (número de casos muestrales menor a 60, grados de libertad menores a 9 o coeficiente de variación mayor a 30%)</t>
  </si>
  <si>
    <t>u:</t>
  </si>
  <si>
    <t>Legend:</t>
  </si>
  <si>
    <t>Data extracted on 12 dic. 2023 12:49 UTC (GMT) from MyOECD</t>
  </si>
  <si>
    <t>2024 dec-feb</t>
  </si>
  <si>
    <t>2023 nov-jan</t>
  </si>
  <si>
    <t>2023 oct-dec</t>
  </si>
  <si>
    <t>2023 sep-nov</t>
  </si>
  <si>
    <t>2023 ago-oct</t>
  </si>
  <si>
    <t>2023 jul-sep</t>
  </si>
  <si>
    <t>2023 jun-ago</t>
  </si>
  <si>
    <t>2023 may-jul</t>
  </si>
  <si>
    <t>2023 abr-jun</t>
  </si>
  <si>
    <t>2023 mar-may</t>
  </si>
  <si>
    <t>2023 feb-abr</t>
  </si>
  <si>
    <t>2023 ene-mar</t>
  </si>
  <si>
    <t>2023 dic-feb</t>
  </si>
  <si>
    <t>2022 nov-ene</t>
  </si>
  <si>
    <t>2022 oct-dic</t>
  </si>
  <si>
    <t>2022 sep-nov</t>
  </si>
  <si>
    <t>2022 ago-oct</t>
  </si>
  <si>
    <t>2022 jul-sep</t>
  </si>
  <si>
    <t>2022 jun-ago</t>
  </si>
  <si>
    <t>2022 may-jul</t>
  </si>
  <si>
    <t>2022 abr-jun</t>
  </si>
  <si>
    <t>2022 mar-may</t>
  </si>
  <si>
    <t>2022 feb-abr</t>
  </si>
  <si>
    <t>2022 ene-mar</t>
  </si>
  <si>
    <t>2022 dic-feb</t>
  </si>
  <si>
    <t>2021 nov-ene</t>
  </si>
  <si>
    <t>2021 oct-dic</t>
  </si>
  <si>
    <t>2021 sep-nov</t>
  </si>
  <si>
    <t>2021 ago-oct</t>
  </si>
  <si>
    <t>2021 jul-sep</t>
  </si>
  <si>
    <t>2021 jun-ago</t>
  </si>
  <si>
    <t>2021 may-jul</t>
  </si>
  <si>
    <t>2021 abr-jun</t>
  </si>
  <si>
    <t>2021 mar-may</t>
  </si>
  <si>
    <t>2021 feb-abr</t>
  </si>
  <si>
    <t>2021 ene-mar</t>
  </si>
  <si>
    <t>2021 dic-feb</t>
  </si>
  <si>
    <t>2020 nov-ene</t>
  </si>
  <si>
    <t>2020 oct-dic</t>
  </si>
  <si>
    <t>2020 sep-nov</t>
  </si>
  <si>
    <t>2020 ago-oct</t>
  </si>
  <si>
    <t>2020 jul-sep</t>
  </si>
  <si>
    <t>2020 jun-ago</t>
  </si>
  <si>
    <t>2020 may-jul</t>
  </si>
  <si>
    <t>2020 abr-jun</t>
  </si>
  <si>
    <t>2020 mar-may</t>
  </si>
  <si>
    <t>2020 feb-abr</t>
  </si>
  <si>
    <t>2020 ene-mar</t>
  </si>
  <si>
    <t>2020 dic-feb</t>
  </si>
  <si>
    <t>2019 nov-ene</t>
  </si>
  <si>
    <t>..</t>
  </si>
  <si>
    <t>(u)</t>
  </si>
  <si>
    <t>2019 oct-dic</t>
  </si>
  <si>
    <t>2019 sep-nov</t>
  </si>
  <si>
    <t>2019 ago-oct</t>
  </si>
  <si>
    <t>2019 jul-sep</t>
  </si>
  <si>
    <t>2019 jun-ago</t>
  </si>
  <si>
    <t>2019 may-jul</t>
  </si>
  <si>
    <t>2019 abr-jun</t>
  </si>
  <si>
    <t>2019 mar-may</t>
  </si>
  <si>
    <t>2019 feb-abr</t>
  </si>
  <si>
    <t>2019 ene-mar</t>
  </si>
  <si>
    <t>2019 dic-feb</t>
  </si>
  <si>
    <t>2018 nov-ene</t>
  </si>
  <si>
    <t>2018 oct-dic</t>
  </si>
  <si>
    <t>2018 sep-nov</t>
  </si>
  <si>
    <t>2018 ago-oct</t>
  </si>
  <si>
    <t>2018 jun-ago</t>
  </si>
  <si>
    <t>2018 may-jul</t>
  </si>
  <si>
    <t>2018 abr-jun</t>
  </si>
  <si>
    <t>2018 mar-may</t>
  </si>
  <si>
    <t>2018 feb-abr</t>
  </si>
  <si>
    <t>2018 ene-mar</t>
  </si>
  <si>
    <t>2018 dic-feb</t>
  </si>
  <si>
    <t>2017 nov-ene</t>
  </si>
  <si>
    <t>2017 oct-dic</t>
  </si>
  <si>
    <t>2017 sep-nov</t>
  </si>
  <si>
    <t>2017 ago-oct</t>
  </si>
  <si>
    <t>2017 jul-sep</t>
  </si>
  <si>
    <t>No sabe/ No responde</t>
  </si>
  <si>
    <t>Trimestre Móvil</t>
  </si>
  <si>
    <t>200 y más personas</t>
  </si>
  <si>
    <t>50-199 personas</t>
  </si>
  <si>
    <t>11-49 personas</t>
  </si>
  <si>
    <t>5-10 personas</t>
  </si>
  <si>
    <t>Menos de 5 personas</t>
  </si>
  <si>
    <t>Número de trabajadores</t>
  </si>
  <si>
    <t>Indicador</t>
  </si>
  <si>
    <t>Dataset: Tasa de ocupación informal</t>
  </si>
  <si>
    <t>Cotizantes SP</t>
  </si>
  <si>
    <t>Cotizantes ESI (límite superior)</t>
  </si>
  <si>
    <t>Cotizantes ESI (límite inferior)</t>
  </si>
  <si>
    <t>ano_trimestre</t>
  </si>
  <si>
    <t>Independiente</t>
  </si>
  <si>
    <t>Dependiente</t>
  </si>
  <si>
    <t>Familiar no remunerado</t>
  </si>
  <si>
    <t>Servicio doméstico puertas adentro</t>
  </si>
  <si>
    <t>Servicio doméstico puertas afuera</t>
  </si>
  <si>
    <t>Asalariado sector público</t>
  </si>
  <si>
    <t>Asalariado sector privado</t>
  </si>
  <si>
    <t>Cuenta propia</t>
  </si>
  <si>
    <t>Empleador</t>
  </si>
  <si>
    <t>NO COTIZANTES POR CATEGORÍA OCUPACIONAL</t>
  </si>
  <si>
    <t>INFORMALIDAD PREVISIONAL POR CATEGORÍA OCUPACIONAL</t>
  </si>
  <si>
    <t>Informales previsionales</t>
  </si>
  <si>
    <t>tasa_infprev</t>
  </si>
  <si>
    <t>cobertura</t>
  </si>
  <si>
    <t>tasa_inf</t>
  </si>
  <si>
    <t>tasa_ocup</t>
  </si>
  <si>
    <t>cotizantes_totales</t>
  </si>
  <si>
    <t>ocupados</t>
  </si>
  <si>
    <t>cot_ind_noESI</t>
  </si>
  <si>
    <t>cotizantes_indep</t>
  </si>
  <si>
    <t>honorarios_dep</t>
  </si>
  <si>
    <t>cotizantes_dep</t>
  </si>
  <si>
    <t>OI</t>
  </si>
  <si>
    <t>DO</t>
  </si>
  <si>
    <t>FT</t>
  </si>
  <si>
    <t>PET</t>
  </si>
  <si>
    <t>categoria_ocupacion</t>
  </si>
  <si>
    <t>Dependencia</t>
  </si>
  <si>
    <t>categoria_ocupacional</t>
  </si>
  <si>
    <t>Nivel ignorado</t>
  </si>
  <si>
    <t>Doctorado</t>
  </si>
  <si>
    <t>Post títulos y maestría</t>
  </si>
  <si>
    <t>Educación universitaria</t>
  </si>
  <si>
    <t>Educación Técnica (Educación Superior no Universitaria)</t>
  </si>
  <si>
    <t>Educación secundaria</t>
  </si>
  <si>
    <t>Educación primaria (nivel 2)</t>
  </si>
  <si>
    <t>Educación primaria (nivel 1)</t>
  </si>
  <si>
    <t>Educación preescolar</t>
  </si>
  <si>
    <t>Nunca estudió</t>
  </si>
  <si>
    <t>NO COTIZANTES POR NIVEL EDUCACIONAL</t>
  </si>
  <si>
    <t>INFORMALIDAD PREVISIONAL POR NIVEL EDUCACIONAL</t>
  </si>
  <si>
    <t>informales previsionales</t>
  </si>
  <si>
    <t>idcine</t>
  </si>
  <si>
    <t>cine</t>
  </si>
  <si>
    <t>oct - dic</t>
  </si>
  <si>
    <t>Informalidad previsional sin honorarios</t>
  </si>
  <si>
    <t>Informalidad previsional</t>
  </si>
  <si>
    <t>Cotizantes totales por trimestre</t>
  </si>
  <si>
    <t>Cotizantes por honorarios (anual-SP)</t>
  </si>
  <si>
    <t xml:space="preserve">Cotizantes independientes (SP) </t>
  </si>
  <si>
    <t>Cotizantes dependientes (SP)</t>
  </si>
  <si>
    <t>Ocupados (ENE)</t>
  </si>
  <si>
    <t>año</t>
  </si>
  <si>
    <t>llave</t>
  </si>
  <si>
    <t>2022</t>
  </si>
  <si>
    <t>2021</t>
  </si>
  <si>
    <t>2020</t>
  </si>
  <si>
    <t>2019</t>
  </si>
  <si>
    <t>2018</t>
  </si>
  <si>
    <t>2017</t>
  </si>
  <si>
    <t>2016</t>
  </si>
  <si>
    <t>2015</t>
  </si>
  <si>
    <t>2014</t>
  </si>
  <si>
    <t>2013</t>
  </si>
  <si>
    <t>lim_sup_infprev</t>
  </si>
  <si>
    <t>lim_inf_infprev</t>
  </si>
  <si>
    <t>lim_sup_cobertura</t>
  </si>
  <si>
    <t>lim_inf_cobertura</t>
  </si>
  <si>
    <t>limsup_cotizantes</t>
  </si>
  <si>
    <t>liminf_cotizantes</t>
  </si>
  <si>
    <t>/6 El total de personal de servicio doméstico incluye tanto puertas adentro como puertas afuera.</t>
  </si>
  <si>
    <t>/5 Esta categoría incluye a todas las personas asalariadas que trabajan no sólo en la Administración Pública, sino que también en cualquier institución o empresa del Estado.</t>
  </si>
  <si>
    <t>/4 Las personas asalariadas corresponden a la sumatoria de asalariados/as del sector público y del sector privado.</t>
  </si>
  <si>
    <t xml:space="preserve">/3 Las personas dependientes corresponden a la sumatoria de asalariados/as y personal de servicio doméstico </t>
  </si>
  <si>
    <t>/2 Las personas independientes corresponden a la sumatoria de empleadores/as, trabajadores/as por cuenta propia y familiares no remunerados.</t>
  </si>
  <si>
    <t>nota</t>
  </si>
  <si>
    <t>Llave</t>
  </si>
  <si>
    <t>Personal de servicio doméstico (Puertas adentro)</t>
  </si>
  <si>
    <t>Personal de servicio doméstico (Puertas afuera)</t>
  </si>
  <si>
    <t>Personal de servicio doméstico (Total) /6</t>
  </si>
  <si>
    <t>Asalariados/as (Sector público) /5</t>
  </si>
  <si>
    <t>Asalariados/as (Sector privado)</t>
  </si>
  <si>
    <t>Asalariados/as (Total) /4</t>
  </si>
  <si>
    <t>Dependientes (Total) /3</t>
  </si>
  <si>
    <t>Independientes (Familiares no remunerados)</t>
  </si>
  <si>
    <t>Independientes (Trabajadores/as por cuenta propia)</t>
  </si>
  <si>
    <t>Independientes (Empleadores/as)</t>
  </si>
  <si>
    <t>Independientes (Total) /2</t>
  </si>
  <si>
    <t>Población ocupada (total)</t>
  </si>
  <si>
    <t>SERIE: OCUPADOS POR CATEGORÍA EN LA OCUPACIÓN Y SEGÚN TRIMESTRE /1</t>
  </si>
  <si>
    <t>* De acuerdo con la Superintendencia de Pensiones, en estos meses la sumatoria de hombres y mujeres no coincide con total de cotizantes en este período, debido a la existencia de registros sin información de sexo.</t>
  </si>
  <si>
    <t>Nota</t>
  </si>
  <si>
    <t>Fuente: Superintendencia de Pensiones (elaboración propia)</t>
  </si>
  <si>
    <t>*</t>
  </si>
  <si>
    <t>en personas</t>
  </si>
  <si>
    <t>Cotizantes dependientes (mujeres)</t>
  </si>
  <si>
    <t>Cotizantes dependientes (hombres)</t>
  </si>
  <si>
    <t>Cotizantes dependientes (ambos sexos)</t>
  </si>
  <si>
    <t>Mes devengado</t>
  </si>
  <si>
    <t>Mes de reporte</t>
  </si>
  <si>
    <t>mes</t>
  </si>
  <si>
    <t>Según registros administrativos de la Superintendencia de Pensiones</t>
  </si>
  <si>
    <t>TOTAL MENSUAL DE COTIZANTES DEPENDIENTES SEGÚN SEXO</t>
  </si>
  <si>
    <t>NÚMERO DE COTIZANTES POR TIPO, SEXO Y A.F.P: https://www.spensiones.cl/apps/centroEstadisticas/paginaCuadrosCCEE.php?menu=sci&amp;menuN1=cotycot&amp;menuN2=tipcotiz</t>
  </si>
  <si>
    <t>Cot. Independientes</t>
  </si>
  <si>
    <t>Información enviada por la Superintendencia de Pensiones a la Secretaría Ténica del CCP.</t>
  </si>
  <si>
    <t>Cotizó como voluntario y honorarios</t>
  </si>
  <si>
    <t>Cotizó como dependiente y honorarios</t>
  </si>
  <si>
    <t>Cotizó sólo por sus honorarios</t>
  </si>
  <si>
    <t>ene-mar 2024</t>
  </si>
  <si>
    <t>Educación primaria</t>
  </si>
  <si>
    <t>EME VII (2022)</t>
  </si>
  <si>
    <t>EME VI (2019)</t>
  </si>
  <si>
    <t>EME V (2017)</t>
  </si>
  <si>
    <t>EME IV (2015)</t>
  </si>
  <si>
    <t>Formal</t>
  </si>
  <si>
    <t xml:space="preserve">Informal </t>
  </si>
  <si>
    <t>Unidades de producción por tipo</t>
  </si>
  <si>
    <t>Trabajadores por cuenta propia</t>
  </si>
  <si>
    <t>Familiares no remunerados del hogar</t>
  </si>
  <si>
    <t>Asalariados</t>
  </si>
  <si>
    <t>Trabajadores de servicio doméstico</t>
  </si>
  <si>
    <t>Informal</t>
  </si>
  <si>
    <t>Empresas del sector formal</t>
  </si>
  <si>
    <t>c</t>
  </si>
  <si>
    <t>Empresas del sector informal</t>
  </si>
  <si>
    <t>Hogares como empleadores</t>
  </si>
  <si>
    <t>d</t>
  </si>
  <si>
    <t>e</t>
  </si>
  <si>
    <t xml:space="preserve">f </t>
  </si>
  <si>
    <t>Notas: (a) Las casillas en gris oscuro se refieren a ocupaciones que por definición no existen en el tipo de unidad de producción en cuestión, por ejemplo, trabajadores por cuenta propia Informales que pertenezcan al sector formal. Las casillas en gris claro se refieren a ocupaciones formales. Las casillas que están en blanco representan diferentes tipos de ocupación informal. 
(b) La casilla “d”, corresponde a trabajadores dedicados a la producción de bienes y servicios, para consumo propio del hogar. Según el manual estadístico para la medición de la informalidad de la OIT y conforme a la resolución sobre estadísticas de la “población económicamente activa, del empleo, del desempleo y del subempleo” adoptada por la 13a CIET del año 1993, esta modalidad de trabajo se consideraba como un trabajo en la ocupación de índole informal. No obstante, la definición queda obsoleta en la nueva resolución sobre las “estadísticas del trabajo, la ocupación y la subutilización de la fuerza de trabajo” de la 19a CIET del año 2013, en la que el concepto trabajo se define de manera más amplia, abarcando distintas formas de trabajo, entre ellas el trabajo de producción para consumo propio, separada del trabajo en la ocupación. Esta resolución impacta en la Matriz de Hussmanns, ya que este tipo de actividades no es capturado en la Encuesta Nacional de Empleo (ENE), por tanto, se excluye del ámbito de análisis. Fuente: INE (2021).</t>
  </si>
  <si>
    <t>Fuente: Elaboración propia en base a datos del INE.</t>
  </si>
  <si>
    <t>Figura 13: Tasa de ocupación informal según categoría ocupacional 2017-2024 (%)</t>
  </si>
  <si>
    <t>Fuente: elaboración propia en base a datos del INE.</t>
  </si>
  <si>
    <t xml:space="preserve">Salud y asistencia social </t>
  </si>
  <si>
    <t>Artes y recreación</t>
  </si>
  <si>
    <t>Figura 12 Distribución de la ocupación informal por categoría ocupacional: trimestre enero-marzo 2024 (%)</t>
  </si>
  <si>
    <t>Fuente: elaboración propia en base a datos INE.</t>
  </si>
  <si>
    <t>Fuente: elaboración propia en base a datos del Ministerio de Hacienda (2022) y VII Encuesta de Microemprendimiento (Ministerio de Economía, 2023)</t>
  </si>
  <si>
    <t>Total solicitudes ingresadas en el año</t>
  </si>
  <si>
    <t>Total solicitudes concedidas en el año</t>
  </si>
  <si>
    <t>Informalidad previsional ESI (límite inferior)</t>
  </si>
  <si>
    <t>Informalidad previsional ESI (límite superior)</t>
  </si>
  <si>
    <t>Informalidad previsional SP</t>
  </si>
  <si>
    <t>Figura 14: Tasa de ocupación informal según rama de actividad: trimestre enero-marzo 2024 (%)</t>
  </si>
  <si>
    <t>Categoría ocupacional</t>
  </si>
  <si>
    <t>Subtotal</t>
  </si>
  <si>
    <r>
      <t> </t>
    </r>
    <r>
      <rPr>
        <sz val="10"/>
        <color rgb="FFFFFFFF"/>
        <rFont val="Calibri"/>
        <family val="2"/>
      </rPr>
      <t>Sector</t>
    </r>
  </si>
  <si>
    <t>Independientes</t>
  </si>
  <si>
    <t>Familiar</t>
  </si>
  <si>
    <t>no remunerado</t>
  </si>
  <si>
    <t>Dependientes</t>
  </si>
  <si>
    <t>Cuenta Propia</t>
  </si>
  <si>
    <t>Empleadoras</t>
  </si>
  <si>
    <t>Asalariada Privada</t>
  </si>
  <si>
    <t>Asalariada Pública</t>
  </si>
  <si>
    <t>Servicio Doméstico</t>
  </si>
  <si>
    <t>Sector Formal</t>
  </si>
  <si>
    <t>Sector Informal</t>
  </si>
  <si>
    <t>Sector Hogares</t>
  </si>
  <si>
    <t>Total (*)</t>
  </si>
  <si>
    <t>Nota: Las casillas vacías hacen referencia a ocupaciones que por definición no existen en el sector en cuestión. (*) La suma total de cada categoría puede diferir a causa del número de decimales. Fuente: INE (2024).</t>
  </si>
  <si>
    <t>Informalidad previsional ESI</t>
  </si>
  <si>
    <t>Cotizantes ESI</t>
  </si>
  <si>
    <t>Figura 18: Informalidad previsional ENE-ESI y datos administrativos SP 2013-2022 (%)</t>
  </si>
  <si>
    <t>Figura 17: Número de cotizantes ENE-ESI y datos administrativos SP 2013-2022</t>
  </si>
  <si>
    <t>Figura 19: Informalidad ocupacional por categoría ocupacional en 2013 y 2022</t>
  </si>
  <si>
    <t>Fuente: Elaboración propia a partir de la ENE complementada con la ESI</t>
  </si>
  <si>
    <t>Figura 20: Informalidad previsional por nivel educacional en 2013 y 2022</t>
  </si>
  <si>
    <t>Figura 21: Informalidad previsional con datos administrativos SP 2013-2022 (%)</t>
  </si>
  <si>
    <t>Fuente: Elaboración propia a partir de datos administrativos de la SP</t>
  </si>
  <si>
    <t>Año Tributario</t>
  </si>
  <si>
    <t>Nº</t>
  </si>
  <si>
    <t>Sexo</t>
  </si>
  <si>
    <t>Parcial</t>
  </si>
  <si>
    <t>Tabla 12: Cotizantes independientes obligados a cotizar según cobertura previsional y género, AT 2019-2023</t>
  </si>
  <si>
    <t>Nota: Se consideran a los trabajadores independientes cuya retención de impuestos fue suficiente para pagar sus cotizaciones para el Seguro de Invalidez y Sobrevivencia (SIS) y/o pensiones. El número total de trabajadores sujetos a la obligatoriedad de la cotización fue 544.784, 561.711, 527.902, 635.483 y 622.948 para los AT 2019, 2020, 2021, 2022 y 2023, respectivamente. Fuente: Superintendencia de Pensiones (2024).</t>
  </si>
  <si>
    <t>Tabla 13: Situación previsional de los cotizantes Independientes en el año de generación de las rentas y monto promedio anual cotizado</t>
  </si>
  <si>
    <t>Situación en el año de generación de rentas</t>
  </si>
  <si>
    <r>
      <t>Monto promedio anual cotizado</t>
    </r>
    <r>
      <rPr>
        <b/>
        <vertAlign val="superscript"/>
        <sz val="9"/>
        <color rgb="FFFFFFFF"/>
        <rFont val="Calibri"/>
        <family val="2"/>
      </rPr>
      <t>(3)</t>
    </r>
    <r>
      <rPr>
        <b/>
        <sz val="9"/>
        <color rgb="FFFFFFFF"/>
        <rFont val="Calibri"/>
        <family val="2"/>
      </rPr>
      <t xml:space="preserve"> ($ dic 2022)</t>
    </r>
  </si>
  <si>
    <t>No cotizó como dependiente ni voluntariamente</t>
  </si>
  <si>
    <t>Cotizó como dependiente</t>
  </si>
  <si>
    <r>
      <t>Cotizó voluntariamente como independiente</t>
    </r>
    <r>
      <rPr>
        <vertAlign val="superscript"/>
        <sz val="9"/>
        <color rgb="FFFFFFFF"/>
        <rFont val="Calibri"/>
        <family val="2"/>
      </rPr>
      <t>(2)</t>
    </r>
  </si>
  <si>
    <t>Notas: (1) El año de generación de las rentas es el año anterior al tributario. Se evalúa si el trabajador cotizó para pensión el año de generación de las rentas, sin considerar las cotizaciones enteradas por la aplicación de la Ley 21.133. En esta clasificación, la categoría de dependiente prima por sobre la de independiente. (2) La categoría "Cotizó voluntariamente como independiente" se refiere a la cotización que el trabajador independiente realiza voluntariamente por rentas no comprendidas en el artículo 42, N° 2°, de la Ley sobre Impuesto a la Renta. (3) El monto promedio corresponde a las cotizaciones pagadas con la retención, tanto de Seguro de Invalidez y Sobrevivencia (SIS) como de pensiones, para el universo de trabajadores independientes de la tabla 12. Los montos dependen tanto de la tasa de retención como de la gradualidad para los trabajadores con cobertura parcial. La tasa de retención de impuestos aumentará entre los años de generación de rentas 2020 y 2028, alcanzando los siguientes valores anuales: 10,75%; 11,5%; 12,25%; 13%; 13,75%; 14,5%; 15,25%; 16%; 17%. A su vez, para las personas que elijan tener cobertura parcial, cotizarán para salud y pensión por un monto rebajado entre los años de generación de renta 2018 y 2027, correspondiente a los siguientes porcentajes de su renta imponible cada año: 5%, 17%, 27%, 37%, 47%, 57%, 70%, 80%, 90%, 100%. Fuente: Superintendencia de Pensiones (2024).</t>
  </si>
  <si>
    <t>Nota: El beneficio promedio por tipo de beneficio se calcula como el total de gasto anual nominal dividido por el número de beneficiarios por tipo de beneficio. El PIB per cápita mensual corresponde al PIB anual nominal dividido en 12 y luego dividido por la población total.  Fuente: Superintendencia de Pensiones (2024) y Banco Central (2024).</t>
  </si>
  <si>
    <t>Tabla 9: Tasa de concesión de beneficios del SPS por tipo de beneficio, género y año</t>
  </si>
  <si>
    <r>
      <t xml:space="preserve">Número de solicitudes </t>
    </r>
    <r>
      <rPr>
        <b/>
        <u/>
        <sz val="10"/>
        <color theme="1"/>
        <rFont val="Calibri"/>
        <family val="2"/>
        <scheme val="minor"/>
      </rPr>
      <t>concedidas</t>
    </r>
    <r>
      <rPr>
        <b/>
        <sz val="10"/>
        <color theme="1"/>
        <rFont val="Calibri"/>
        <family val="2"/>
        <scheme val="minor"/>
      </rPr>
      <t xml:space="preserve"> anuales por sexo (beneficios SPS y PGU)*
</t>
    </r>
  </si>
  <si>
    <r>
      <t xml:space="preserve">Número de solicitudes </t>
    </r>
    <r>
      <rPr>
        <b/>
        <u/>
        <sz val="10"/>
        <color theme="1"/>
        <rFont val="Calibri"/>
        <family val="2"/>
        <scheme val="minor"/>
      </rPr>
      <t>rechazadas</t>
    </r>
    <r>
      <rPr>
        <b/>
        <sz val="10"/>
        <color theme="1"/>
        <rFont val="Calibri"/>
        <family val="2"/>
        <scheme val="minor"/>
      </rPr>
      <t xml:space="preserve"> anuales por sexo (beneficios SPS y PGU)*
</t>
    </r>
  </si>
  <si>
    <t xml:space="preserve">Tabla 10: Matriz de Hussmanns. </t>
  </si>
  <si>
    <t>Marco conceptual integrador de la medición de la informalidad laboral (adaptación chilena)</t>
  </si>
  <si>
    <t>Figura 9</t>
  </si>
  <si>
    <t>Figura 10</t>
  </si>
  <si>
    <t xml:space="preserve">Tabla 11: Formalidad/informalidad laboral total según categoría ocupacional y sector. </t>
  </si>
  <si>
    <t xml:space="preserve">Porcentaje sobre el total de personas ocupadas, enero-marzo 2024 </t>
  </si>
  <si>
    <t>Figura 11: Tasa de ocupación informal según sexo 2017-2023 (%)</t>
  </si>
  <si>
    <t xml:space="preserve">Figura 15: Tasa de ocupación informal según tamaño de la empresa (2019 - 2023) </t>
  </si>
  <si>
    <t>Figura 16: Informalidad en el microemprendimiento (2015 - 2022)</t>
  </si>
  <si>
    <t>Nota: Límites superior e inferior hacen referencia al intervalo de confianza al 95% del número de cotizantes. Fuente: elaboración propia a partir de datos de la ENE complementada con la ESI y datos administrativos de la SP.</t>
  </si>
  <si>
    <t>Nota: Límites superior e inferior hacen referencia al intervalo de confianza al 95% de la razón no cotizantes sobre ocupados, que es el indicador de informalidad previsional. Fuente: elaboración propia a partir de datos de la ENE complementada con la ESI y datos administrativos de la SP.</t>
  </si>
  <si>
    <t>Fuente: elaboración propia a partir de datos de la ENE complementada con la ESI.</t>
  </si>
  <si>
    <t>https://celade.cepal.org/bdcelade/proyecciones/resultados/04_CHL.xlsx</t>
  </si>
  <si>
    <t>Por sexo</t>
  </si>
  <si>
    <t>Tipo de trabajadores según categoría de la ocupación</t>
  </si>
  <si>
    <r>
      <rPr>
        <b/>
        <sz val="14"/>
        <color theme="1"/>
        <rFont val="Calibri"/>
        <family val="2"/>
        <scheme val="minor"/>
      </rPr>
      <t>Tasa de concesión de solicitudes anual por sexo (beneficios SPS y PGU)*</t>
    </r>
    <r>
      <rPr>
        <b/>
        <sz val="11"/>
        <color theme="1"/>
        <rFont val="Calibri"/>
        <family val="2"/>
        <scheme val="minor"/>
      </rPr>
      <t xml:space="preserve">
</t>
    </r>
  </si>
  <si>
    <t>lim inf cobertura</t>
  </si>
  <si>
    <t>lim sup cobertura</t>
  </si>
  <si>
    <t>El gasto está a precios de cada año (usando UF anual del BC)</t>
  </si>
  <si>
    <t>MONTO TOTAL EN $MM DE PESOS DE BENEFICIOS DE PENSIÓN GARANTIZADA UNIVERSAL Y DEL PILAR SOLIDARIO PAGADOS, SEGÚN SEXO, TIPO DE BENEFICIO Y MES DE PAGO</t>
  </si>
  <si>
    <t>Archivo serie_pilar2 - 2. Monto total en $MM de beneficios del Pilar Solidario y PGU pagados, según sexo, tipo de beneficio y mes de pago</t>
  </si>
  <si>
    <t>Mes de pago</t>
  </si>
  <si>
    <t>Total Nominal</t>
  </si>
  <si>
    <t>Total en UF</t>
  </si>
  <si>
    <r>
      <t xml:space="preserve">PBS Vejez / PGU No Contributiva </t>
    </r>
    <r>
      <rPr>
        <vertAlign val="superscript"/>
        <sz val="10"/>
        <rFont val="Calibri"/>
        <family val="2"/>
      </rPr>
      <t>1</t>
    </r>
  </si>
  <si>
    <t xml:space="preserve">PBS Invalidez </t>
  </si>
  <si>
    <r>
      <t xml:space="preserve">PGU Contributiva </t>
    </r>
    <r>
      <rPr>
        <vertAlign val="superscript"/>
        <sz val="10"/>
        <rFont val="Calibri"/>
        <family val="2"/>
      </rPr>
      <t>1</t>
    </r>
  </si>
  <si>
    <r>
      <t xml:space="preserve">APS Vejez </t>
    </r>
    <r>
      <rPr>
        <vertAlign val="superscript"/>
        <sz val="10"/>
        <rFont val="Calibri"/>
        <family val="2"/>
      </rPr>
      <t>2</t>
    </r>
  </si>
  <si>
    <t xml:space="preserve">APS Invalidez </t>
  </si>
  <si>
    <r>
      <t xml:space="preserve">Artículo 9°bis </t>
    </r>
    <r>
      <rPr>
        <vertAlign val="superscript"/>
        <sz val="10"/>
        <rFont val="Calibri"/>
        <family val="2"/>
      </rPr>
      <t>3</t>
    </r>
  </si>
  <si>
    <t>Total Mujeres</t>
  </si>
  <si>
    <t>Total Hombres</t>
  </si>
  <si>
    <t>UF</t>
  </si>
  <si>
    <t>sept-24</t>
  </si>
  <si>
    <t>1.Unidad de fomento (UF)</t>
  </si>
  <si>
    <t>Fuente: Banco Central</t>
  </si>
  <si>
    <t>Base de Datos Estadísticos (BDE)</t>
  </si>
  <si>
    <t>Producto interno bruto, referencia 2018 (miles de millones de pesos)</t>
  </si>
  <si>
    <t>1.PIB a precios corrientes</t>
  </si>
  <si>
    <t>En millones</t>
  </si>
  <si>
    <t>En UF</t>
  </si>
  <si>
    <t>Ojo: la fórmula cambia desde 2022 (los cuadros en amarillo)</t>
  </si>
  <si>
    <t>Gasto total       (% PIB)</t>
  </si>
  <si>
    <t>Indicadores de reajustabilidad, mensual</t>
  </si>
  <si>
    <t>UF-IVP-UTM mensual -&gt; frecuencia mensual</t>
  </si>
  <si>
    <t>UF-IVP-UTM mensual -&gt; frecuencia anual</t>
  </si>
  <si>
    <t>NÚMERO DE BENEFICIARIOS DE PENSIÓN GARANTIZADA UNIVERSAL Y DEL PILAR SOLIDARIO, SEGÚN SEXO, TIPO DE BENEFICIO Y MES DE PAGO</t>
  </si>
  <si>
    <t>PBS Vejez / PGU No Contributiva1</t>
  </si>
  <si>
    <t>PGU Contributiva 1</t>
  </si>
  <si>
    <t>APS Vejez 2</t>
  </si>
  <si>
    <t>Artículo 9°bis 3</t>
  </si>
  <si>
    <t>Archivo serie_pilar1 - 1. Número de beneficiarios del Pilar Solidario y PGU, según sexo, tipo de beneficio y mes de pago</t>
  </si>
  <si>
    <t>Línea de pobreza extrema (LPE)</t>
  </si>
  <si>
    <t>Línea de pobreza (LP)</t>
  </si>
  <si>
    <t>Indicadores</t>
  </si>
  <si>
    <t>LP</t>
  </si>
  <si>
    <t>LPE</t>
  </si>
  <si>
    <t>CBA</t>
  </si>
  <si>
    <t>Fuente: Observatorio Social</t>
  </si>
  <si>
    <t>Línea de pobreza (a precios corrientes)</t>
  </si>
  <si>
    <t>Línea de pobreza en UF</t>
  </si>
  <si>
    <t>UF dic 
último año</t>
  </si>
  <si>
    <t>Total APS</t>
  </si>
  <si>
    <t>Total PBS</t>
  </si>
  <si>
    <t>Gasto Total mujeres</t>
  </si>
  <si>
    <t>Gasto Total hombres</t>
  </si>
  <si>
    <t>Ttoal</t>
  </si>
  <si>
    <t xml:space="preserve">Figura 7: Distribución del gasto fiscal total del Pilar Solidario según sexo
</t>
  </si>
  <si>
    <t>% Vejez</t>
  </si>
  <si>
    <t>% Invalidez</t>
  </si>
  <si>
    <t>Tabla 1 Anexos</t>
  </si>
  <si>
    <t>Tabla 2 Anexos</t>
  </si>
  <si>
    <t>Anexos</t>
  </si>
  <si>
    <t>Tabla 2: Evolución del requisito de focalización y monto de beneficios de invalidez del SPS</t>
  </si>
  <si>
    <t>CONSEJO CONSULTIVO PREVISIONAL</t>
  </si>
  <si>
    <t>Tabla 3: Evolución del número de beneficiarios por tipo de beneficio a diciembre de cada año</t>
  </si>
  <si>
    <t>Tabla 4: Número de beneficiarios de vejez y cobertura de la población de 65 años o más</t>
  </si>
  <si>
    <t xml:space="preserve">Tabla 5: Beneficio promedio de vejez por tipo de beneficio (pesos chilenos de cada año) </t>
  </si>
  <si>
    <t>Tabla 7: Gasto anual nominal del Pilar Solidario (milllones de pesos de cada año)</t>
  </si>
  <si>
    <t>Figura 1: Evolución del número de beneficiarios y composición según tipo de beneficio</t>
  </si>
  <si>
    <t xml:space="preserve">Figura 2: Composición del número de beneficiarios por tipo de beneficio según causa </t>
  </si>
  <si>
    <t>Beneficio promedio mensual (BPM)</t>
  </si>
  <si>
    <t>BPM sobre PIB per cápita</t>
  </si>
  <si>
    <t>BPM sobre Línea de Pobreza</t>
  </si>
  <si>
    <t>BPM sobre Línea de Pobreza Extrema</t>
  </si>
  <si>
    <t>Tabla 5: Beneficio promedio mensual de vejez del Pilar Solidario e indicadores de suficiencia (pesos chilenos de cada año)</t>
  </si>
  <si>
    <t>Figura 5: Gasto anual real en beneficios del Pilar Solidario (total y % del PIB)</t>
  </si>
  <si>
    <t>TABLAS Y FIGURAS INFORME ANUAL 2025</t>
  </si>
  <si>
    <t>Tabla 2: Número de beneficios pagados del Pilar Solidario a diciembre de 2025</t>
  </si>
  <si>
    <t>Desde los 82 años</t>
  </si>
  <si>
    <t>Entre 65 y 81 años</t>
  </si>
  <si>
    <t>01.02.25 al 31.08.25</t>
  </si>
  <si>
    <t>01.09.25 al 31.01.26</t>
  </si>
  <si>
    <t>Nota: La tasa de concesión se calcula como el total de solicitudes concedidas en el año dividida por la suma de solicitudes rechazadas y concedidas en el año. Fuente: Elaboración propia a partir de bases de datos del IPS (información actualizada a septiembre 2025).</t>
  </si>
  <si>
    <t>* Información de 2025 corresponde a la información hasta septiembre.</t>
  </si>
  <si>
    <r>
      <t>Número de solicitudes</t>
    </r>
    <r>
      <rPr>
        <b/>
        <u/>
        <sz val="10"/>
        <color theme="1"/>
        <rFont val="Calibri"/>
        <family val="2"/>
        <scheme val="minor"/>
      </rPr>
      <t xml:space="preserve"> concedidas</t>
    </r>
    <r>
      <rPr>
        <b/>
        <sz val="10"/>
        <color theme="1"/>
        <rFont val="Calibri"/>
        <family val="2"/>
        <scheme val="minor"/>
      </rPr>
      <t xml:space="preserve"> anuales por beneficio del SPS y PGU*</t>
    </r>
  </si>
  <si>
    <t>Tasa de concesión por beneficio</t>
  </si>
  <si>
    <t>Tasa de concesión por sexo</t>
  </si>
  <si>
    <t>Tabla 8: Gasto anual real del Pilar Solidario (millones de pesos chilenos de diciembre de 2025)</t>
  </si>
  <si>
    <t xml:space="preserve">Figura 9: Tasa de concesión de beneficios del SPS por tipo de beneficio y sexo (2025) </t>
  </si>
  <si>
    <t>(julio 2008 y septiembre 2025)</t>
  </si>
  <si>
    <t>Fuente: Elaboración propia a partir de bases de datos del IPS (información actualizada a septiembre 2025).</t>
  </si>
  <si>
    <t>Figura 10: Número de solicitudes realizadas y concedidas entre 2008 y 2025</t>
  </si>
  <si>
    <r>
      <t xml:space="preserve">Número de solicitudes </t>
    </r>
    <r>
      <rPr>
        <b/>
        <u/>
        <sz val="10"/>
        <color theme="1"/>
        <rFont val="Calibri"/>
        <family val="2"/>
        <scheme val="minor"/>
      </rPr>
      <t>rechazadas</t>
    </r>
    <r>
      <rPr>
        <b/>
        <sz val="10"/>
        <color theme="1"/>
        <rFont val="Calibri"/>
        <family val="2"/>
        <scheme val="minor"/>
      </rPr>
      <t xml:space="preserve"> anuales por beneficio del SPS y PGU (*) (***)</t>
    </r>
  </si>
  <si>
    <t>https://observatorio.ministeriodesarrollosocial.gob.cl/nueva-serie-cba-2025</t>
  </si>
  <si>
    <t>Tabla 1: Evolución del requisito de focalización y monto de beneficios de vejez del SPS y la PGU</t>
  </si>
  <si>
    <t>01.02.26 al 31.01.27</t>
  </si>
  <si>
    <t>01.02.26 al 31.08.26</t>
  </si>
  <si>
    <t>01.09.26 al 31.01.27</t>
  </si>
  <si>
    <t xml:space="preserve">Nota: Se incluyen en esta estadística los beneficios concedidos en la ley 21.190 art 9 bis (Nbis), beneficio para los pensionados por Retiro Programado con Pensión Base mayor a la PMAS, y que cumplen con los requisitos exigidos por ley que accedan a un complemento que asegure que, ante la baja de los pagos del retiro programado, la pensión final no descienda del valor de una Pensión Básica Solidaria. Fuente: Superintendencia de Pensiones (2026) </t>
  </si>
  <si>
    <t>Nota: Se considera a la población al inicio del año siguiente. Fuente: Elaboración propía en base a datos de la Superintendencia de Pensiones (2026) y CELADE (2024).</t>
  </si>
  <si>
    <t>Nota: Se considera a la población al inicio del año siguiente. 
Fuente: Superintendencia de Pensiones (2026) y CELADE (2024).</t>
  </si>
  <si>
    <t>Nota: Beneficios de vejez se han entregado siempre a partir de los 65 años.
*Desde febrero de 2022, se crea la PGU, beneficio que reemplaza a los beneficios de PBS y APS de vejez (el APS vejez se mantiene sólo para una parte del stock de beneficiarios a quienes le convenía el APS por sobre la PGU). 
Fuente: Elaboración propia a partir de la normativa legal.</t>
  </si>
  <si>
    <t>01.07.09 al 31.08.09</t>
  </si>
  <si>
    <t>Fuente: Superintendencia de Pensiones (2026).</t>
  </si>
  <si>
    <t>Fuente: Superintendencia de Pensiones (2026) y CELADE (2024).</t>
  </si>
  <si>
    <t xml:space="preserve">Fuente: Superintendencia de Pensiones (2026). </t>
  </si>
  <si>
    <t>Figura 8: Distribución de solicitudes realizadas por tipo de beneficio (2025)</t>
  </si>
  <si>
    <t>Fuente: Elaboración propia a partir de Bases de Datos del IPS. Información actualizada a septiembre 2025.</t>
  </si>
  <si>
    <t>Nota: El gasto anual se ha determinado sumando los gastos mensuales en UF ajustados por el valor de la UF del Banco Central a diciembre de 2025. 
Fuente: Superintendencia de Pensiones (2026) y Banco Central (2025).</t>
  </si>
  <si>
    <t>Tabla 8: Gasto anual real del Sistema de Pensiones Solidarias (millones de pesos chilenos de diciembre de 2025)</t>
  </si>
  <si>
    <t>Nota: El gasto anual se ha determinado sumando los gastos mensuales en UF ajustados por el valor de la UF anual del Banco Central. 
Fuente: Superintendencia de Pensiones (2026) y Banco Central (2025).</t>
  </si>
  <si>
    <t>Informe de Finanzas Públicas, tercer trimestre 2025</t>
  </si>
  <si>
    <t>Fuente: DIPRES (Estimación del PIB 2025)</t>
  </si>
  <si>
    <t xml:space="preserve">Nota: La serie de PIB entre 2008 y 2024 corresponde a gasto del PIB a precios corrientes, referencia 2018, de las series empalmadas del Banco Central, para el PIB 2025 se utilizaron las estimaciones de DIPRES del IFP del tercer trimestre de 2025. El número de personas beneficiarias corresponde a aquellas de diciembre de cada año. </t>
  </si>
  <si>
    <t>Fuente: Superintendencia de Pensiones (2026), Banco Central (2025), DIPRES (2025) y CELADE (2024) (Se considera la población al inicio del año siguiente).</t>
  </si>
  <si>
    <t>https://www.dipres.gob.cl/598/articles-386772_doc_pdf.pdf</t>
  </si>
  <si>
    <t>Fuente: Elaboración propia en base a datos de la Superintendencia de Pensiones (SP), Banco Central (BC),  la Dirección de Presupuestos (DIPRES), Instituto de Previsión Social (IPS), el Ministerio de Desarrollo Social y Familia (MDSF) y CELADE.</t>
  </si>
  <si>
    <t>UF dic 2025</t>
  </si>
  <si>
    <t>Nota: La existencia aun de 99.762 beneficiarios de APS de vejez en diciembre de 2025, corresponde a aquellos cuyo beneficio representado por su APS es superior al otorgado bajo el nuevo régimen de la PGU, por lo que se mantuvieron con ese beneficio de vejez. 
Fuente: Superintendencia de Pensiones (2026).</t>
  </si>
  <si>
    <t>Nota: El beneficio promedio por tipo de beneficio se calcula como el total de gasto anual nominal dividido por el número de beneficiarios a diciembre de cada año, por tipo de beneficio. El PIB per cápita mensual corresponde al PIB anual nominal dividido en 12 y luego dividido por la población total. La línea de pobreza y línea de pobreza extrema corresponde al indicador promedio del año a precios del año corriente. Fuente: Superintendencia de Pensiones (2026), Banco Central (2025), Dipres (2025), Celade (2024) y Observatorio Social del Ministerio de Desarrollo Social y Familia (2026).</t>
  </si>
  <si>
    <t>Figura 3: Distribución de los beneficios según tipo, causa y sexo (diciembre 2025)</t>
  </si>
  <si>
    <t>En millones de pesos de 2025</t>
  </si>
  <si>
    <t xml:space="preserve">Figura 6: Distribución del gasto fiscal total del Pilar Solidario según tipo de beneficio
</t>
  </si>
  <si>
    <t>Nota: El gasto anual se ha determinado sumando los gastos mensuales en UF ajustados por el valor de la UF anual del Banco Central. 
Fuente: Superintendencia de Pensiones (2026), DIPRES (2025) y Banco Central (2025).</t>
  </si>
  <si>
    <t>Nota: El gasto anual se ha determinado sumando los gastos mensuales en UF ajustados por el valor de la UF del Banco Central a diciembre de 2025. 
Fuente: Superintendencia de Pensiones (2026), DIPRES (2025) y Banco Central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</si>
</sst>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42" formatCode="_ &quot;$&quot;* #,##0_ ;_ &quot;$&quot;* \-#,##0_ ;_ &quot;$&quot;* &quot;-&quot;_ ;_ @_ "/>
    <numFmt numFmtId="41" formatCode="_ * #,##0_ ;_ * \-#,##0_ ;_ * &quot;-&quot;_ ;_ @_ "/>
    <numFmt numFmtId="164" formatCode="_-* #,##0_-;\-* #,##0_-;_-* &quot;-&quot;_-;_-@_-"/>
    <numFmt numFmtId="165" formatCode="_-* #,##0.00_-;\-* #,##0.00_-;_-* &quot;-&quot;??_-;_-@_-"/>
    <numFmt numFmtId="166" formatCode="_-* #,##0.00\ _€_-;\-* #,##0.00\ _€_-;_-* &quot;-&quot;??\ _€_-;_-@_-"/>
    <numFmt numFmtId="167" formatCode="_-&quot;$&quot;\ * #,##0.00_-;\-&quot;$&quot;\ * #,##0.00_-;_-&quot;$&quot;\ * &quot;-&quot;??_-;_-@_-"/>
    <numFmt numFmtId="168" formatCode="_-* #,##0_-;\-* #,##0_-;_-* &quot;-&quot;??_-;_-@_-"/>
    <numFmt numFmtId="169" formatCode="0.0%"/>
    <numFmt numFmtId="170" formatCode="_-[$€-2]\ * #,##0.00_-;\-[$€-2]\ * #,##0.00_-;_-[$€-2]\ * &quot;-&quot;??_-"/>
    <numFmt numFmtId="171" formatCode="_-* #,##0.00\ _P_t_s_-;\-* #,##0.00\ _P_t_s_-;_-* &quot;-&quot;??\ _P_t_s_-;_-@_-"/>
    <numFmt numFmtId="172" formatCode="0_ ;\-0\ "/>
    <numFmt numFmtId="173" formatCode="mmm/yyyy"/>
    <numFmt numFmtId="174" formatCode="#,##0.00_);\(#,##0.00\);&quot;-&quot;"/>
    <numFmt numFmtId="175" formatCode="#,##0.0_);\(#,##0.0\);&quot;-&quot;"/>
    <numFmt numFmtId="176" formatCode="#,##0.00&quot; &quot;;\(#,##0.00\);&quot;-&quot;"/>
    <numFmt numFmtId="177" formatCode="#,##0.0000000000&quot; &quot;;\(#,##0.0000000000\);&quot;-&quot;"/>
    <numFmt numFmtId="178" formatCode="#,##0.0"/>
    <numFmt numFmtId="179" formatCode="#,##0.0_ ;\-#,##0.0\ "/>
    <numFmt numFmtId="180" formatCode="_ * #,##0.0_ ;_ * \-#,##0.0_ ;_ * &quot;-&quot;_ ;_ @_ "/>
    <numFmt numFmtId="181" formatCode="_ * #,##0.00_ ;_ * \-#,##0.00_ ;_ * &quot;-&quot;_ ;_ @_ "/>
    <numFmt numFmtId="182" formatCode="0.000"/>
    <numFmt numFmtId="183" formatCode="#,##0.0000"/>
    <numFmt numFmtId="184" formatCode="0.0"/>
  </numFmts>
  <fonts count="147"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9"/>
      <color theme="1"/>
      <name val="Calibri"/>
      <family val="2"/>
      <scheme val="minor"/>
    </font>
    <font>
      <sz val="9"/>
      <name val="Calibri"/>
      <family val="2"/>
      <scheme val="minor"/>
    </font>
    <font>
      <sz val="10"/>
      <name val="Arial"/>
      <family val="2"/>
    </font>
    <font>
      <sz val="12"/>
      <name val="Arial"/>
      <family val="2"/>
    </font>
    <font>
      <sz val="11"/>
      <color indexed="8"/>
      <name val="Calibri"/>
      <family val="2"/>
    </font>
    <font>
      <sz val="9"/>
      <name val="Tahoma"/>
      <family val="2"/>
    </font>
    <font>
      <u/>
      <sz val="11"/>
      <color theme="10"/>
      <name val="Calibri"/>
      <family val="2"/>
    </font>
    <font>
      <b/>
      <sz val="9"/>
      <name val="Calibri"/>
      <family val="2"/>
      <scheme val="minor"/>
    </font>
    <font>
      <sz val="10"/>
      <name val="Comic Sans MS"/>
      <family val="4"/>
    </font>
    <font>
      <sz val="10"/>
      <name val="Verdana"/>
      <family val="2"/>
    </font>
    <font>
      <sz val="10"/>
      <color theme="1"/>
      <name val="Arial"/>
      <family val="2"/>
    </font>
    <font>
      <sz val="10"/>
      <color theme="0"/>
      <name val="Arial"/>
      <family val="2"/>
    </font>
    <font>
      <sz val="10"/>
      <color rgb="FF006100"/>
      <name val="Arial"/>
      <family val="2"/>
    </font>
    <font>
      <b/>
      <sz val="10"/>
      <color rgb="FFFA7D00"/>
      <name val="Arial"/>
      <family val="2"/>
    </font>
    <font>
      <b/>
      <sz val="10"/>
      <color theme="0"/>
      <name val="Arial"/>
      <family val="2"/>
    </font>
    <font>
      <sz val="10"/>
      <color rgb="FFFA7D00"/>
      <name val="Arial"/>
      <family val="2"/>
    </font>
    <font>
      <b/>
      <sz val="11"/>
      <color theme="3"/>
      <name val="Arial"/>
      <family val="2"/>
    </font>
    <font>
      <sz val="10"/>
      <color rgb="FF3F3F76"/>
      <name val="Arial"/>
      <family val="2"/>
    </font>
    <font>
      <sz val="10"/>
      <color rgb="FF9C0006"/>
      <name val="Arial"/>
      <family val="2"/>
    </font>
    <font>
      <sz val="10"/>
      <color rgb="FF9C6500"/>
      <name val="Arial"/>
      <family val="2"/>
    </font>
    <font>
      <b/>
      <sz val="10"/>
      <color rgb="FF3F3F3F"/>
      <name val="Arial"/>
      <family val="2"/>
    </font>
    <font>
      <sz val="10"/>
      <color rgb="FFFF0000"/>
      <name val="Arial"/>
      <family val="2"/>
    </font>
    <font>
      <i/>
      <sz val="10"/>
      <color rgb="FF7F7F7F"/>
      <name val="Arial"/>
      <family val="2"/>
    </font>
    <font>
      <b/>
      <sz val="15"/>
      <color theme="3"/>
      <name val="Arial"/>
      <family val="2"/>
    </font>
    <font>
      <b/>
      <sz val="13"/>
      <color theme="3"/>
      <name val="Arial"/>
      <family val="2"/>
    </font>
    <font>
      <b/>
      <sz val="10"/>
      <color theme="1"/>
      <name val="Arial"/>
      <family val="2"/>
    </font>
    <font>
      <sz val="10"/>
      <color theme="1"/>
      <name val="Calibri"/>
      <family val="2"/>
      <scheme val="minor"/>
    </font>
    <font>
      <u/>
      <sz val="11"/>
      <color theme="10"/>
      <name val="Calibri"/>
      <family val="2"/>
      <scheme val="minor"/>
    </font>
    <font>
      <sz val="10"/>
      <name val="MS Sans Serif"/>
      <family val="2"/>
    </font>
    <font>
      <sz val="10"/>
      <color rgb="FF000000"/>
      <name val="Calibri"/>
      <family val="2"/>
      <scheme val="minor"/>
    </font>
    <font>
      <b/>
      <sz val="16"/>
      <color theme="1"/>
      <name val="Calibri"/>
      <family val="2"/>
      <scheme val="minor"/>
    </font>
    <font>
      <sz val="10"/>
      <name val="Calibri"/>
      <family val="2"/>
      <scheme val="minor"/>
    </font>
    <font>
      <b/>
      <sz val="14"/>
      <color theme="1"/>
      <name val="Calibri"/>
      <family val="2"/>
      <scheme val="minor"/>
    </font>
    <font>
      <b/>
      <sz val="11"/>
      <color rgb="FF000000"/>
      <name val="Calibri"/>
      <family val="2"/>
      <scheme val="minor"/>
    </font>
    <font>
      <sz val="11"/>
      <color rgb="FF000000"/>
      <name val="Calibri"/>
      <family val="2"/>
      <scheme val="minor"/>
    </font>
    <font>
      <sz val="14"/>
      <color theme="1"/>
      <name val="Calibri"/>
      <family val="2"/>
      <scheme val="minor"/>
    </font>
    <font>
      <b/>
      <u/>
      <sz val="18"/>
      <color theme="1"/>
      <name val="Calibri"/>
      <family val="2"/>
      <scheme val="minor"/>
    </font>
    <font>
      <i/>
      <sz val="11"/>
      <color theme="1"/>
      <name val="Calibri"/>
      <family val="2"/>
      <scheme val="minor"/>
    </font>
    <font>
      <i/>
      <sz val="9"/>
      <color theme="1"/>
      <name val="Calibri"/>
      <family val="2"/>
      <scheme val="minor"/>
    </font>
    <font>
      <sz val="9"/>
      <color rgb="FF000000"/>
      <name val="Calibri Light"/>
      <family val="2"/>
    </font>
    <font>
      <b/>
      <sz val="9"/>
      <color rgb="FFFFFFFF"/>
      <name val="Calibri"/>
      <family val="2"/>
    </font>
    <font>
      <b/>
      <sz val="9"/>
      <color rgb="FF000000"/>
      <name val="Calibri"/>
      <family val="2"/>
    </font>
    <font>
      <b/>
      <sz val="11"/>
      <color rgb="FFFFFFFF"/>
      <name val="Calibri"/>
      <family val="2"/>
    </font>
    <font>
      <sz val="11"/>
      <color rgb="FF000000"/>
      <name val="Calibri Light"/>
      <family val="2"/>
    </font>
    <font>
      <i/>
      <sz val="9"/>
      <color rgb="FF000000"/>
      <name val="Calibri Light"/>
      <family val="2"/>
    </font>
    <font>
      <sz val="8"/>
      <color theme="1"/>
      <name val="Calibri Light"/>
      <family val="2"/>
    </font>
    <font>
      <sz val="9"/>
      <color rgb="FF000000"/>
      <name val="Calibri"/>
      <family val="2"/>
      <scheme val="minor"/>
    </font>
    <font>
      <sz val="9"/>
      <color rgb="FFFFFFFF"/>
      <name val="Calibri Light"/>
      <family val="2"/>
    </font>
    <font>
      <b/>
      <sz val="10"/>
      <color theme="1"/>
      <name val="Calibri"/>
      <family val="2"/>
      <scheme val="minor"/>
    </font>
    <font>
      <b/>
      <sz val="10"/>
      <color rgb="FF000000"/>
      <name val="Calibri"/>
      <family val="2"/>
      <scheme val="minor"/>
    </font>
    <font>
      <sz val="8"/>
      <name val="Arial"/>
      <family val="2"/>
    </font>
    <font>
      <b/>
      <sz val="11"/>
      <color rgb="FFFFFFFF"/>
      <name val="Calibri"/>
      <family val="2"/>
      <scheme val="minor"/>
    </font>
    <font>
      <i/>
      <sz val="10"/>
      <color theme="1"/>
      <name val="Calibri"/>
      <family val="2"/>
      <scheme val="minor"/>
    </font>
    <font>
      <sz val="9"/>
      <color rgb="FF000000"/>
      <name val="Calibri Light"/>
      <family val="2"/>
    </font>
    <font>
      <i/>
      <sz val="10"/>
      <color theme="1"/>
      <name val="Calibri Light"/>
      <family val="2"/>
    </font>
    <font>
      <sz val="10"/>
      <color indexed="8"/>
      <name val="Calibri Light"/>
      <family val="2"/>
    </font>
    <font>
      <b/>
      <sz val="10"/>
      <color indexed="8"/>
      <name val="Calibri Light"/>
      <family val="2"/>
    </font>
    <font>
      <sz val="10"/>
      <color indexed="8"/>
      <name val="Arial"/>
      <family val="2"/>
    </font>
    <font>
      <sz val="10"/>
      <name val="Calibri Light"/>
      <family val="2"/>
    </font>
    <font>
      <sz val="10"/>
      <color rgb="FF000000"/>
      <name val="Calibri Light"/>
      <family val="2"/>
    </font>
    <font>
      <sz val="9"/>
      <color rgb="FF002060"/>
      <name val="Calibri Light"/>
      <family val="2"/>
    </font>
    <font>
      <sz val="10"/>
      <color rgb="FF002060"/>
      <name val="Calibri Light"/>
      <family val="2"/>
    </font>
    <font>
      <b/>
      <sz val="10"/>
      <color rgb="FF002060"/>
      <name val="Calibri Light"/>
      <family val="2"/>
    </font>
    <font>
      <b/>
      <sz val="9"/>
      <color rgb="FF002060"/>
      <name val="Calibri Light"/>
      <family val="2"/>
    </font>
    <font>
      <b/>
      <sz val="10"/>
      <name val="Calibri Light"/>
      <family val="2"/>
    </font>
    <font>
      <b/>
      <u/>
      <sz val="10"/>
      <color theme="10"/>
      <name val="Calibri Light"/>
      <family val="2"/>
    </font>
    <font>
      <b/>
      <u/>
      <sz val="10"/>
      <color rgb="FF0000FF"/>
      <name val="Calibri Light"/>
      <family val="2"/>
    </font>
    <font>
      <sz val="8"/>
      <name val="Verdana"/>
      <family val="2"/>
    </font>
    <font>
      <b/>
      <sz val="8"/>
      <name val="Verdana"/>
      <family val="2"/>
    </font>
    <font>
      <u/>
      <sz val="8"/>
      <name val="Verdana"/>
      <family val="2"/>
    </font>
    <font>
      <vertAlign val="superscript"/>
      <sz val="10"/>
      <name val="Verdana"/>
      <family val="2"/>
    </font>
    <font>
      <b/>
      <sz val="9"/>
      <color indexed="10"/>
      <name val="Courier New"/>
      <family val="3"/>
    </font>
    <font>
      <sz val="8"/>
      <color indexed="9"/>
      <name val="Verdana"/>
      <family val="2"/>
    </font>
    <font>
      <b/>
      <sz val="8"/>
      <color indexed="9"/>
      <name val="Verdana"/>
      <family val="2"/>
    </font>
    <font>
      <b/>
      <sz val="9"/>
      <color indexed="18"/>
      <name val="Verdana"/>
      <family val="2"/>
    </font>
    <font>
      <sz val="9"/>
      <color indexed="81"/>
      <name val="Tahoma"/>
      <family val="2"/>
    </font>
    <font>
      <b/>
      <sz val="10"/>
      <color rgb="FF000000"/>
      <name val="Calibri Light"/>
      <family val="2"/>
    </font>
    <font>
      <sz val="10"/>
      <name val="Cambria"/>
      <family val="2"/>
      <scheme val="major"/>
    </font>
    <font>
      <b/>
      <sz val="10"/>
      <name val="Cambria"/>
      <family val="2"/>
      <scheme val="major"/>
    </font>
    <font>
      <b/>
      <u/>
      <sz val="10"/>
      <color theme="10"/>
      <name val="Cambria"/>
      <family val="2"/>
      <scheme val="major"/>
    </font>
    <font>
      <sz val="10"/>
      <color rgb="FF002060"/>
      <name val="Cambria"/>
      <family val="2"/>
      <scheme val="major"/>
    </font>
    <font>
      <b/>
      <sz val="10"/>
      <color rgb="FF002060"/>
      <name val="Cambria"/>
      <family val="2"/>
      <scheme val="major"/>
    </font>
    <font>
      <b/>
      <sz val="10"/>
      <color indexed="8"/>
      <name val="Cambria"/>
      <family val="2"/>
      <scheme val="major"/>
    </font>
    <font>
      <b/>
      <sz val="12"/>
      <color theme="1"/>
      <name val="Calibri"/>
      <family val="2"/>
      <scheme val="minor"/>
    </font>
    <font>
      <sz val="12"/>
      <color theme="1"/>
      <name val="Aptos"/>
      <family val="2"/>
    </font>
    <font>
      <sz val="10"/>
      <name val="Arial"/>
      <family val="2"/>
    </font>
    <font>
      <b/>
      <sz val="11"/>
      <color rgb="FF2D3D43"/>
      <name val="Calibri"/>
      <family val="2"/>
    </font>
    <font>
      <sz val="10"/>
      <color indexed="8"/>
      <name val="Calibri Light"/>
      <family val="2"/>
    </font>
    <font>
      <sz val="11"/>
      <color rgb="FF002060"/>
      <name val="Calibri Light"/>
      <family val="2"/>
    </font>
    <font>
      <sz val="9"/>
      <color rgb="FFFFFFFF"/>
      <name val="Calibri Light"/>
      <family val="2"/>
    </font>
    <font>
      <sz val="9"/>
      <color theme="1"/>
      <name val="Calibri Light"/>
      <family val="2"/>
    </font>
    <font>
      <b/>
      <sz val="11"/>
      <color rgb="FF000000"/>
      <name val="Calibri Light"/>
      <family val="2"/>
    </font>
    <font>
      <i/>
      <sz val="8"/>
      <color theme="1"/>
      <name val="Calibri Light"/>
      <family val="2"/>
    </font>
    <font>
      <i/>
      <sz val="10"/>
      <color rgb="FF000000"/>
      <name val="Calibri Light"/>
      <family val="2"/>
    </font>
    <font>
      <i/>
      <sz val="10"/>
      <color indexed="8"/>
      <name val="Calibri Light"/>
      <family val="2"/>
    </font>
    <font>
      <b/>
      <u/>
      <sz val="10"/>
      <color theme="10"/>
      <name val="Calibri Light"/>
      <family val="2"/>
    </font>
    <font>
      <b/>
      <sz val="10"/>
      <name val="Calibri Light"/>
      <family val="2"/>
    </font>
    <font>
      <sz val="10"/>
      <name val="Calibri Light"/>
      <family val="2"/>
    </font>
    <font>
      <i/>
      <sz val="8"/>
      <color theme="1"/>
      <name val="Calibri"/>
      <family val="2"/>
      <scheme val="minor"/>
    </font>
    <font>
      <u/>
      <sz val="11"/>
      <color theme="1"/>
      <name val="Calibri"/>
      <family val="2"/>
      <scheme val="minor"/>
    </font>
    <font>
      <b/>
      <u/>
      <sz val="10"/>
      <color rgb="FF0000FF"/>
      <name val="Calibri Light"/>
      <family val="2"/>
    </font>
    <font>
      <i/>
      <sz val="8"/>
      <color theme="1"/>
      <name val="Calibri Light"/>
      <family val="2"/>
    </font>
    <font>
      <sz val="10"/>
      <color rgb="FF000000"/>
      <name val="Calibri"/>
      <family val="2"/>
    </font>
    <font>
      <sz val="10"/>
      <color rgb="FFFFFFFF"/>
      <name val="Calibri"/>
      <family val="2"/>
    </font>
    <font>
      <b/>
      <sz val="9"/>
      <color rgb="FFFFFFFF"/>
      <name val="Calibri"/>
      <family val="2"/>
    </font>
    <font>
      <sz val="9"/>
      <color rgb="FFFFFFFF"/>
      <name val="Calibri"/>
      <family val="2"/>
    </font>
    <font>
      <b/>
      <vertAlign val="superscript"/>
      <sz val="9"/>
      <color rgb="FFFFFFFF"/>
      <name val="Calibri"/>
      <family val="2"/>
    </font>
    <font>
      <vertAlign val="superscript"/>
      <sz val="9"/>
      <color rgb="FFFFFFFF"/>
      <name val="Calibri"/>
      <family val="2"/>
    </font>
    <font>
      <u/>
      <sz val="8"/>
      <color theme="10"/>
      <name val="Calibri"/>
      <family val="2"/>
    </font>
    <font>
      <i/>
      <sz val="9"/>
      <color theme="1"/>
      <name val="Calibri Light"/>
      <family val="2"/>
    </font>
    <font>
      <b/>
      <sz val="10"/>
      <color rgb="FFFFFFFF"/>
      <name val="Calibri"/>
      <family val="2"/>
    </font>
    <font>
      <b/>
      <sz val="10"/>
      <name val="Calibri"/>
      <family val="2"/>
      <scheme val="minor"/>
    </font>
    <font>
      <b/>
      <u/>
      <sz val="10"/>
      <color theme="1"/>
      <name val="Calibri"/>
      <family val="2"/>
      <scheme val="minor"/>
    </font>
    <font>
      <b/>
      <sz val="10"/>
      <color theme="5"/>
      <name val="Calibri"/>
      <family val="2"/>
      <scheme val="minor"/>
    </font>
    <font>
      <b/>
      <sz val="12"/>
      <name val="Calibri"/>
      <family val="2"/>
      <scheme val="minor"/>
    </font>
    <font>
      <b/>
      <sz val="11"/>
      <name val="Calibri"/>
      <family val="2"/>
      <scheme val="minor"/>
    </font>
    <font>
      <vertAlign val="superscript"/>
      <sz val="10"/>
      <name val="Calibri"/>
      <family val="2"/>
    </font>
    <font>
      <sz val="11"/>
      <color rgb="FF000000"/>
      <name val="Calibri"/>
      <family val="2"/>
    </font>
    <font>
      <b/>
      <sz val="12"/>
      <color rgb="FF000000"/>
      <name val="Calibri"/>
      <family val="2"/>
    </font>
    <font>
      <sz val="11"/>
      <color theme="1"/>
      <name val="Calibri Light"/>
      <family val="2"/>
    </font>
    <font>
      <b/>
      <sz val="9"/>
      <color rgb="FF000000"/>
      <name val="Calibri Light"/>
      <family val="2"/>
    </font>
    <font>
      <sz val="9"/>
      <color theme="0"/>
      <name val="Calibri"/>
      <family val="2"/>
      <scheme val="minor"/>
    </font>
    <font>
      <sz val="14"/>
      <color theme="1"/>
      <name val="Calibri Light"/>
      <family val="2"/>
    </font>
    <font>
      <b/>
      <sz val="9"/>
      <color rgb="FF000000"/>
      <name val="Calibri"/>
      <family val="2"/>
      <scheme val="minor"/>
    </font>
    <font>
      <sz val="11"/>
      <color rgb="FFFF0000"/>
      <name val="Calibri"/>
      <family val="2"/>
    </font>
    <font>
      <b/>
      <sz val="11"/>
      <color rgb="FFFF0000"/>
      <name val="Calibri"/>
      <family val="2"/>
      <scheme val="minor"/>
    </font>
    <font>
      <b/>
      <sz val="10"/>
      <color rgb="FF000000"/>
      <name val="Calibri"/>
      <family val="2"/>
    </font>
    <font>
      <i/>
      <sz val="8"/>
      <name val="Calibri"/>
      <family val="2"/>
      <scheme val="minor"/>
    </font>
  </fonts>
  <fills count="7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0" tint="-4.9989318521683403E-2"/>
        <bgColor indexed="64"/>
      </patternFill>
    </fill>
    <fill>
      <patternFill patternType="solid">
        <fgColor rgb="FFFFFFFF"/>
        <bgColor indexed="64"/>
      </patternFill>
    </fill>
    <fill>
      <patternFill patternType="solid">
        <fgColor rgb="FF3F747D"/>
        <bgColor indexed="64"/>
      </patternFill>
    </fill>
    <fill>
      <patternFill patternType="solid">
        <fgColor rgb="FFD0E5E8"/>
        <bgColor indexed="64"/>
      </patternFill>
    </fill>
    <fill>
      <patternFill patternType="solid">
        <fgColor rgb="FF65A7B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8"/>
      </patternFill>
    </fill>
    <fill>
      <patternFill patternType="solid">
        <fgColor indexed="9"/>
        <bgColor auto="1"/>
      </patternFill>
    </fill>
    <fill>
      <patternFill patternType="solid">
        <fgColor theme="0"/>
        <bgColor rgb="FF000000"/>
      </patternFill>
    </fill>
    <fill>
      <patternFill patternType="solid">
        <fgColor rgb="FFFFFFFF"/>
        <bgColor rgb="FF000000"/>
      </patternFill>
    </fill>
    <fill>
      <patternFill patternType="solid">
        <fgColor theme="0" tint="-4.9989318521683403E-2"/>
        <bgColor indexed="8"/>
      </patternFill>
    </fill>
    <fill>
      <patternFill patternType="solid">
        <fgColor rgb="FFF0F8FF"/>
        <bgColor indexed="64"/>
      </patternFill>
    </fill>
    <fill>
      <patternFill patternType="solid">
        <fgColor rgb="FFFFFFCC"/>
        <bgColor indexed="64"/>
      </patternFill>
    </fill>
    <fill>
      <patternFill patternType="mediumGray">
        <fgColor rgb="FFC0C0C0"/>
        <bgColor rgb="FFFFFFFF"/>
      </patternFill>
    </fill>
    <fill>
      <patternFill patternType="solid">
        <fgColor rgb="FFC4D8ED"/>
        <bgColor indexed="64"/>
      </patternFill>
    </fill>
    <fill>
      <patternFill patternType="solid">
        <fgColor rgb="FF00A1E3"/>
        <bgColor indexed="64"/>
      </patternFill>
    </fill>
    <fill>
      <patternFill patternType="solid">
        <fgColor rgb="FF2973BD"/>
        <bgColor indexed="64"/>
      </patternFill>
    </fill>
    <fill>
      <patternFill patternType="solid">
        <fgColor rgb="FF2D3D43"/>
        <bgColor indexed="64"/>
      </patternFill>
    </fill>
    <fill>
      <patternFill patternType="solid">
        <fgColor rgb="FF0C948A"/>
        <bgColor indexed="64"/>
      </patternFill>
    </fill>
    <fill>
      <patternFill patternType="solid">
        <fgColor rgb="FFA6A6A6"/>
        <bgColor indexed="64"/>
      </patternFill>
    </fill>
    <fill>
      <patternFill patternType="solid">
        <fgColor rgb="FFD9D9D9"/>
        <bgColor indexed="64"/>
      </patternFill>
    </fill>
    <fill>
      <patternFill patternType="solid">
        <fgColor rgb="FFFDE9D9"/>
        <bgColor indexed="64"/>
      </patternFill>
    </fill>
    <fill>
      <patternFill patternType="solid">
        <fgColor rgb="FFFFC00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DEEAF6"/>
      </patternFill>
    </fill>
    <fill>
      <patternFill patternType="solid">
        <fgColor theme="3" tint="-0.249977111117893"/>
        <bgColor indexed="64"/>
      </patternFill>
    </fill>
    <fill>
      <patternFill patternType="solid">
        <fgColor rgb="FF5EA3AE"/>
        <bgColor indexed="64"/>
      </patternFill>
    </fill>
    <fill>
      <patternFill patternType="solid">
        <fgColor theme="4" tint="0.59999389629810485"/>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top style="medium">
        <color indexed="64"/>
      </top>
      <bottom/>
      <diagonal/>
    </border>
    <border>
      <left style="thin">
        <color indexed="10"/>
      </left>
      <right/>
      <top/>
      <bottom/>
      <diagonal/>
    </border>
    <border>
      <left/>
      <right/>
      <top style="thin">
        <color indexed="64"/>
      </top>
      <bottom style="thin">
        <color indexed="64"/>
      </bottom>
      <diagonal/>
    </border>
    <border>
      <left/>
      <right/>
      <top/>
      <bottom style="thin">
        <color indexed="10"/>
      </bottom>
      <diagonal/>
    </border>
    <border>
      <left style="thin">
        <color indexed="10"/>
      </left>
      <right/>
      <top/>
      <bottom style="thin">
        <color indexed="10"/>
      </bottom>
      <diagonal/>
    </border>
    <border>
      <left/>
      <right/>
      <top/>
      <bottom style="thin">
        <color indexed="8"/>
      </bottom>
      <diagonal/>
    </border>
    <border>
      <left/>
      <right/>
      <top style="thin">
        <color indexed="8"/>
      </top>
      <bottom style="thin">
        <color indexed="8"/>
      </bottom>
      <diagonal/>
    </border>
    <border>
      <left style="hair">
        <color rgb="FFFFFFCC"/>
      </left>
      <right style="thin">
        <color rgb="FFC0C0C0"/>
      </right>
      <top style="thin">
        <color rgb="FFC0C0C0"/>
      </top>
      <bottom style="thin">
        <color rgb="FFC0C0C0"/>
      </bottom>
      <diagonal/>
    </border>
    <border>
      <left style="thin">
        <color rgb="FFC0C0C0"/>
      </left>
      <right style="hair">
        <color rgb="FFFFFFCC"/>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000000"/>
      </right>
      <top/>
      <bottom style="thin">
        <color rgb="FF000000"/>
      </bottom>
      <diagonal/>
    </border>
    <border>
      <left/>
      <right style="medium">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medium">
        <color rgb="FF000000"/>
      </bottom>
      <diagonal/>
    </border>
    <border>
      <left/>
      <right style="medium">
        <color rgb="FF000000"/>
      </right>
      <top/>
      <bottom style="medium">
        <color rgb="FF000000"/>
      </bottom>
      <diagonal/>
    </border>
    <border>
      <left style="thin">
        <color rgb="FF000000"/>
      </left>
      <right style="medium">
        <color rgb="FF000000"/>
      </right>
      <top/>
      <bottom style="medium">
        <color rgb="FF000000"/>
      </bottom>
      <diagonal/>
    </border>
    <border>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right/>
      <top/>
      <bottom style="medium">
        <color indexed="64"/>
      </bottom>
      <diagonal/>
    </border>
    <border>
      <left/>
      <right/>
      <top style="medium">
        <color indexed="64"/>
      </top>
      <bottom/>
      <diagonal/>
    </border>
    <border>
      <left style="medium">
        <color rgb="FF000000"/>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8"/>
      </bottom>
      <diagonal/>
    </border>
    <border>
      <left style="thin">
        <color indexed="64"/>
      </left>
      <right style="thin">
        <color indexed="64"/>
      </right>
      <top style="thin">
        <color indexed="8"/>
      </top>
      <bottom style="thin">
        <color indexed="8"/>
      </bottom>
      <diagonal/>
    </border>
    <border>
      <left style="thin">
        <color auto="1"/>
      </left>
      <right style="thin">
        <color auto="1"/>
      </right>
      <top style="thin">
        <color auto="1"/>
      </top>
      <bottom style="thin">
        <color auto="1"/>
      </bottom>
      <diagonal style="thin">
        <color auto="1"/>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style="thin">
        <color auto="1"/>
      </diagonal>
    </border>
    <border>
      <left/>
      <right/>
      <top style="thin">
        <color auto="1"/>
      </top>
      <bottom style="thin">
        <color auto="1"/>
      </bottom>
      <diagonal style="thin">
        <color auto="1"/>
      </diagonal>
    </border>
    <border>
      <left/>
      <right style="thin">
        <color auto="1"/>
      </right>
      <top style="thin">
        <color auto="1"/>
      </top>
      <bottom style="thin">
        <color auto="1"/>
      </bottom>
      <diagonal style="thin">
        <color auto="1"/>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361">
    <xf numFmtId="0" fontId="0" fillId="0" borderId="0"/>
    <xf numFmtId="165"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5" fillId="0" borderId="2" applyNumberFormat="0" applyFill="0" applyAlignment="0" applyProtection="0"/>
    <xf numFmtId="0" fontId="6" fillId="0" borderId="3" applyNumberFormat="0" applyFill="0" applyAlignment="0" applyProtection="0"/>
    <xf numFmtId="0" fontId="7" fillId="0" borderId="4"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5" applyNumberFormat="0" applyAlignment="0" applyProtection="0"/>
    <xf numFmtId="0" fontId="12" fillId="6" borderId="6" applyNumberFormat="0" applyAlignment="0" applyProtection="0"/>
    <xf numFmtId="0" fontId="13" fillId="6" borderId="5" applyNumberFormat="0" applyAlignment="0" applyProtection="0"/>
    <xf numFmtId="0" fontId="14" fillId="0" borderId="7" applyNumberFormat="0" applyFill="0" applyAlignment="0" applyProtection="0"/>
    <xf numFmtId="0" fontId="15" fillId="7" borderId="8" applyNumberFormat="0" applyAlignment="0" applyProtection="0"/>
    <xf numFmtId="0" fontId="16" fillId="0" borderId="0" applyNumberFormat="0" applyFill="0" applyBorder="0" applyAlignment="0" applyProtection="0"/>
    <xf numFmtId="0" fontId="1" fillId="8" borderId="9" applyNumberFormat="0" applyFont="0" applyAlignment="0" applyProtection="0"/>
    <xf numFmtId="0" fontId="17" fillId="0" borderId="0" applyNumberFormat="0" applyFill="0" applyBorder="0" applyAlignment="0" applyProtection="0"/>
    <xf numFmtId="0" fontId="2" fillId="0" borderId="10" applyNumberFormat="0" applyFill="0" applyAlignment="0" applyProtection="0"/>
    <xf numFmtId="0" fontId="1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32" borderId="0" applyNumberFormat="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5" fontId="21" fillId="0" borderId="0" applyFont="0" applyFill="0" applyBorder="0" applyAlignment="0" applyProtection="0"/>
    <xf numFmtId="171"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9" fontId="21" fillId="0" borderId="0" applyFont="0" applyFill="0" applyBorder="0" applyAlignment="0" applyProtection="0"/>
    <xf numFmtId="0" fontId="21" fillId="0" borderId="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25" fillId="0" borderId="0" applyNumberFormat="0" applyFill="0" applyBorder="0" applyAlignment="0" applyProtection="0">
      <alignment vertical="top"/>
      <protection locked="0"/>
    </xf>
    <xf numFmtId="166" fontId="24"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6" fontId="1" fillId="0" borderId="0" applyFont="0" applyFill="0" applyBorder="0" applyAlignment="0" applyProtection="0"/>
    <xf numFmtId="165" fontId="21" fillId="0" borderId="0" applyFont="0" applyFill="0" applyBorder="0" applyAlignment="0" applyProtection="0"/>
    <xf numFmtId="166" fontId="1" fillId="0" borderId="0" applyFont="0" applyFill="0" applyBorder="0" applyAlignment="0" applyProtection="0"/>
    <xf numFmtId="0" fontId="24" fillId="0" borderId="0"/>
    <xf numFmtId="0" fontId="21" fillId="0" borderId="0"/>
    <xf numFmtId="0" fontId="23" fillId="8" borderId="9" applyNumberFormat="0" applyFont="0" applyAlignment="0" applyProtection="0"/>
    <xf numFmtId="0" fontId="23" fillId="8" borderId="9" applyNumberFormat="0" applyFont="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1" fillId="0" borderId="0"/>
    <xf numFmtId="0" fontId="25" fillId="0" borderId="0" applyNumberFormat="0" applyFill="0" applyBorder="0" applyAlignment="0" applyProtection="0">
      <alignment vertical="top"/>
      <protection locked="0"/>
    </xf>
    <xf numFmtId="0" fontId="1" fillId="10" borderId="0" applyNumberFormat="0" applyBorder="0" applyAlignment="0" applyProtection="0"/>
    <xf numFmtId="0" fontId="1" fillId="22" borderId="0" applyNumberFormat="0" applyBorder="0" applyAlignment="0" applyProtection="0"/>
    <xf numFmtId="0" fontId="29" fillId="22" borderId="0" applyNumberFormat="0" applyBorder="0" applyAlignment="0" applyProtection="0"/>
    <xf numFmtId="0" fontId="1" fillId="26" borderId="0" applyNumberFormat="0" applyBorder="0" applyAlignment="0" applyProtection="0"/>
    <xf numFmtId="0" fontId="29" fillId="26" borderId="0" applyNumberFormat="0" applyBorder="0" applyAlignment="0" applyProtection="0"/>
    <xf numFmtId="0" fontId="1" fillId="30" borderId="0" applyNumberFormat="0" applyBorder="0" applyAlignment="0" applyProtection="0"/>
    <xf numFmtId="0" fontId="29" fillId="30" borderId="0" applyNumberFormat="0" applyBorder="0" applyAlignment="0" applyProtection="0"/>
    <xf numFmtId="0" fontId="1" fillId="11" borderId="0" applyNumberFormat="0" applyBorder="0" applyAlignment="0" applyProtection="0"/>
    <xf numFmtId="0" fontId="29"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9" fillId="19" borderId="0" applyNumberFormat="0" applyBorder="0" applyAlignment="0" applyProtection="0"/>
    <xf numFmtId="0" fontId="1" fillId="23" borderId="0" applyNumberFormat="0" applyBorder="0" applyAlignment="0" applyProtection="0"/>
    <xf numFmtId="0" fontId="29" fillId="23" borderId="0" applyNumberFormat="0" applyBorder="0" applyAlignment="0" applyProtection="0"/>
    <xf numFmtId="0" fontId="1" fillId="27" borderId="0" applyNumberFormat="0" applyBorder="0" applyAlignment="0" applyProtection="0"/>
    <xf numFmtId="0" fontId="29" fillId="27" borderId="0" applyNumberFormat="0" applyBorder="0" applyAlignment="0" applyProtection="0"/>
    <xf numFmtId="0" fontId="1" fillId="31" borderId="0" applyNumberFormat="0" applyBorder="0" applyAlignment="0" applyProtection="0"/>
    <xf numFmtId="0" fontId="29" fillId="31" borderId="0" applyNumberFormat="0" applyBorder="0" applyAlignment="0" applyProtection="0"/>
    <xf numFmtId="0" fontId="18" fillId="12" borderId="0" applyNumberFormat="0" applyBorder="0" applyAlignment="0" applyProtection="0"/>
    <xf numFmtId="0" fontId="30"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30" fillId="20" borderId="0" applyNumberFormat="0" applyBorder="0" applyAlignment="0" applyProtection="0"/>
    <xf numFmtId="0" fontId="18" fillId="24" borderId="0" applyNumberFormat="0" applyBorder="0" applyAlignment="0" applyProtection="0"/>
    <xf numFmtId="0" fontId="30" fillId="24" borderId="0" applyNumberFormat="0" applyBorder="0" applyAlignment="0" applyProtection="0"/>
    <xf numFmtId="0" fontId="18" fillId="28" borderId="0" applyNumberFormat="0" applyBorder="0" applyAlignment="0" applyProtection="0"/>
    <xf numFmtId="0" fontId="30" fillId="28" borderId="0" applyNumberFormat="0" applyBorder="0" applyAlignment="0" applyProtection="0"/>
    <xf numFmtId="0" fontId="18" fillId="32" borderId="0" applyNumberFormat="0" applyBorder="0" applyAlignment="0" applyProtection="0"/>
    <xf numFmtId="0" fontId="30" fillId="32" borderId="0" applyNumberFormat="0" applyBorder="0" applyAlignment="0" applyProtection="0"/>
    <xf numFmtId="0" fontId="8" fillId="2" borderId="0" applyNumberFormat="0" applyBorder="0" applyAlignment="0" applyProtection="0"/>
    <xf numFmtId="0" fontId="32" fillId="6" borderId="5" applyNumberFormat="0" applyAlignment="0" applyProtection="0"/>
    <xf numFmtId="0" fontId="7" fillId="0" borderId="0" applyNumberFormat="0" applyFill="0" applyBorder="0" applyAlignment="0" applyProtection="0"/>
    <xf numFmtId="0" fontId="18" fillId="9" borderId="0" applyNumberFormat="0" applyBorder="0" applyAlignment="0" applyProtection="0"/>
    <xf numFmtId="0" fontId="30" fillId="9" borderId="0" applyNumberFormat="0" applyBorder="0" applyAlignment="0" applyProtection="0"/>
    <xf numFmtId="0" fontId="18" fillId="13" borderId="0" applyNumberFormat="0" applyBorder="0" applyAlignment="0" applyProtection="0"/>
    <xf numFmtId="0" fontId="30" fillId="13" borderId="0" applyNumberFormat="0" applyBorder="0" applyAlignment="0" applyProtection="0"/>
    <xf numFmtId="0" fontId="18" fillId="17" borderId="0" applyNumberFormat="0" applyBorder="0" applyAlignment="0" applyProtection="0"/>
    <xf numFmtId="0" fontId="30" fillId="17" borderId="0" applyNumberFormat="0" applyBorder="0" applyAlignment="0" applyProtection="0"/>
    <xf numFmtId="0" fontId="18" fillId="21" borderId="0" applyNumberFormat="0" applyBorder="0" applyAlignment="0" applyProtection="0"/>
    <xf numFmtId="0" fontId="30" fillId="25" borderId="0" applyNumberFormat="0" applyBorder="0" applyAlignment="0" applyProtection="0"/>
    <xf numFmtId="0" fontId="1" fillId="14" borderId="0" applyNumberFormat="0" applyBorder="0" applyAlignment="0" applyProtection="0"/>
    <xf numFmtId="0" fontId="35" fillId="0" borderId="0" applyNumberFormat="0" applyFill="0" applyBorder="0" applyAlignment="0" applyProtection="0"/>
    <xf numFmtId="0" fontId="15" fillId="7" borderId="8" applyNumberFormat="0" applyAlignment="0" applyProtection="0"/>
    <xf numFmtId="0" fontId="37" fillId="3" borderId="0" applyNumberFormat="0" applyBorder="0" applyAlignment="0" applyProtection="0"/>
    <xf numFmtId="0" fontId="36" fillId="5" borderId="5" applyNumberFormat="0" applyAlignment="0" applyProtection="0"/>
    <xf numFmtId="0" fontId="9" fillId="3" borderId="0" applyNumberFormat="0" applyBorder="0" applyAlignment="0" applyProtection="0"/>
    <xf numFmtId="0" fontId="18" fillId="29" borderId="0" applyNumberFormat="0" applyBorder="0" applyAlignment="0" applyProtection="0"/>
    <xf numFmtId="0" fontId="29" fillId="14" borderId="0" applyNumberFormat="0" applyBorder="0" applyAlignment="0" applyProtection="0"/>
    <xf numFmtId="0" fontId="30" fillId="29" borderId="0" applyNumberFormat="0" applyBorder="0" applyAlignment="0" applyProtection="0"/>
    <xf numFmtId="0" fontId="11" fillId="5" borderId="5" applyNumberFormat="0" applyAlignment="0" applyProtection="0"/>
    <xf numFmtId="0" fontId="29" fillId="15" borderId="0" applyNumberFormat="0" applyBorder="0" applyAlignment="0" applyProtection="0"/>
    <xf numFmtId="0" fontId="31" fillId="2" borderId="0" applyNumberFormat="0" applyBorder="0" applyAlignment="0" applyProtection="0"/>
    <xf numFmtId="0" fontId="30" fillId="21" borderId="0" applyNumberFormat="0" applyBorder="0" applyAlignment="0" applyProtection="0"/>
    <xf numFmtId="0" fontId="13" fillId="6" borderId="5" applyNumberFormat="0" applyAlignment="0" applyProtection="0"/>
    <xf numFmtId="0" fontId="18" fillId="25" borderId="0" applyNumberFormat="0" applyBorder="0" applyAlignment="0" applyProtection="0"/>
    <xf numFmtId="0" fontId="34" fillId="0" borderId="7" applyNumberFormat="0" applyFill="0" applyAlignment="0" applyProtection="0"/>
    <xf numFmtId="0" fontId="14" fillId="0" borderId="7" applyNumberFormat="0" applyFill="0" applyAlignment="0" applyProtection="0"/>
    <xf numFmtId="0" fontId="33" fillId="7" borderId="8" applyNumberFormat="0" applyAlignment="0" applyProtection="0"/>
    <xf numFmtId="0" fontId="30" fillId="16" borderId="0" applyNumberFormat="0" applyBorder="0" applyAlignment="0" applyProtection="0"/>
    <xf numFmtId="0" fontId="29" fillId="18" borderId="0" applyNumberFormat="0" applyBorder="0" applyAlignment="0" applyProtection="0"/>
    <xf numFmtId="0" fontId="1" fillId="18" borderId="0" applyNumberFormat="0" applyBorder="0" applyAlignment="0" applyProtection="0"/>
    <xf numFmtId="0" fontId="29" fillId="10" borderId="0" applyNumberFormat="0" applyBorder="0" applyAlignment="0" applyProtection="0"/>
    <xf numFmtId="166" fontId="21" fillId="0" borderId="0" applyFont="0" applyFill="0" applyBorder="0" applyAlignment="0" applyProtection="0"/>
    <xf numFmtId="0" fontId="10" fillId="4" borderId="0" applyNumberFormat="0" applyBorder="0" applyAlignment="0" applyProtection="0"/>
    <xf numFmtId="0" fontId="38" fillId="4"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7" fillId="0" borderId="0"/>
    <xf numFmtId="0" fontId="21" fillId="0" borderId="0"/>
    <xf numFmtId="0" fontId="2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9" fillId="8" borderId="9" applyNumberFormat="0" applyFont="0" applyAlignment="0" applyProtection="0"/>
    <xf numFmtId="0" fontId="12" fillId="6" borderId="6" applyNumberFormat="0" applyAlignment="0" applyProtection="0"/>
    <xf numFmtId="0" fontId="39" fillId="6" borderId="6" applyNumberFormat="0" applyAlignment="0" applyProtection="0"/>
    <xf numFmtId="0" fontId="16" fillId="0" borderId="0" applyNumberFormat="0" applyFill="0" applyBorder="0" applyAlignment="0" applyProtection="0"/>
    <xf numFmtId="0" fontId="40" fillId="0" borderId="0" applyNumberFormat="0" applyFill="0" applyBorder="0" applyAlignment="0" applyProtection="0"/>
    <xf numFmtId="0" fontId="17" fillId="0" borderId="0" applyNumberFormat="0" applyFill="0" applyBorder="0" applyAlignment="0" applyProtection="0"/>
    <xf numFmtId="0" fontId="41" fillId="0" borderId="0" applyNumberFormat="0" applyFill="0" applyBorder="0" applyAlignment="0" applyProtection="0"/>
    <xf numFmtId="0" fontId="5" fillId="0" borderId="2" applyNumberFormat="0" applyFill="0" applyAlignment="0" applyProtection="0"/>
    <xf numFmtId="0" fontId="42" fillId="0" borderId="2" applyNumberFormat="0" applyFill="0" applyAlignment="0" applyProtection="0"/>
    <xf numFmtId="0" fontId="6" fillId="0" borderId="3" applyNumberFormat="0" applyFill="0" applyAlignment="0" applyProtection="0"/>
    <xf numFmtId="0" fontId="43" fillId="0" borderId="3" applyNumberFormat="0" applyFill="0" applyAlignment="0" applyProtection="0"/>
    <xf numFmtId="0" fontId="7" fillId="0" borderId="4" applyNumberFormat="0" applyFill="0" applyAlignment="0" applyProtection="0"/>
    <xf numFmtId="0" fontId="35" fillId="0" borderId="4" applyNumberFormat="0" applyFill="0" applyAlignment="0" applyProtection="0"/>
    <xf numFmtId="0" fontId="2" fillId="0" borderId="10" applyNumberFormat="0" applyFill="0" applyAlignment="0" applyProtection="0"/>
    <xf numFmtId="0" fontId="44" fillId="0" borderId="10" applyNumberFormat="0" applyFill="0" applyAlignment="0" applyProtection="0"/>
    <xf numFmtId="0" fontId="46" fillId="0" borderId="0" applyNumberFormat="0" applyFill="0" applyBorder="0" applyAlignment="0" applyProtection="0"/>
    <xf numFmtId="166" fontId="1" fillId="0" borderId="0" applyFont="0" applyFill="0" applyBorder="0" applyAlignment="0" applyProtection="0"/>
    <xf numFmtId="167" fontId="21" fillId="0" borderId="0" applyFont="0" applyFill="0" applyBorder="0" applyAlignment="0" applyProtection="0"/>
    <xf numFmtId="0" fontId="45" fillId="0" borderId="0"/>
    <xf numFmtId="0" fontId="47" fillId="0" borderId="0"/>
    <xf numFmtId="0" fontId="21" fillId="0" borderId="0"/>
    <xf numFmtId="0" fontId="23" fillId="8" borderId="9" applyNumberFormat="0" applyFont="0" applyAlignment="0" applyProtection="0"/>
    <xf numFmtId="0" fontId="23" fillId="8" borderId="9" applyNumberFormat="0" applyFont="0" applyAlignment="0" applyProtection="0"/>
    <xf numFmtId="41" fontId="1" fillId="0" borderId="0" applyFont="0" applyFill="0" applyBorder="0" applyAlignment="0" applyProtection="0"/>
    <xf numFmtId="0" fontId="46" fillId="0" borderId="0" applyNumberFormat="0" applyFill="0" applyBorder="0" applyAlignment="0" applyProtection="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1" fillId="0" borderId="0"/>
    <xf numFmtId="0" fontId="27" fillId="0" borderId="0"/>
    <xf numFmtId="0" fontId="21" fillId="0" borderId="0"/>
    <xf numFmtId="0" fontId="21" fillId="0" borderId="0"/>
    <xf numFmtId="9" fontId="21" fillId="0" borderId="0" applyFont="0" applyFill="0" applyBorder="0" applyAlignment="0" applyProtection="0"/>
    <xf numFmtId="165" fontId="21" fillId="0" borderId="0" applyFont="0" applyFill="0" applyBorder="0" applyAlignment="0" applyProtection="0"/>
    <xf numFmtId="167" fontId="21" fillId="0" borderId="0" applyFont="0" applyFill="0" applyBorder="0" applyAlignment="0" applyProtection="0"/>
    <xf numFmtId="0" fontId="21" fillId="0" borderId="0"/>
    <xf numFmtId="0" fontId="1" fillId="8" borderId="9" applyNumberFormat="0" applyFont="0" applyAlignment="0" applyProtection="0"/>
    <xf numFmtId="0" fontId="4" fillId="0" borderId="0" applyNumberFormat="0" applyFill="0" applyBorder="0" applyAlignment="0" applyProtection="0"/>
    <xf numFmtId="0" fontId="21" fillId="0" borderId="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167"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0" fontId="76" fillId="0" borderId="0"/>
    <xf numFmtId="0" fontId="104" fillId="0" borderId="0"/>
    <xf numFmtId="0" fontId="136" fillId="0" borderId="0"/>
    <xf numFmtId="0" fontId="136" fillId="0" borderId="0"/>
  </cellStyleXfs>
  <cellXfs count="636">
    <xf numFmtId="0" fontId="0" fillId="0" borderId="0" xfId="0"/>
    <xf numFmtId="168" fontId="20" fillId="33" borderId="1" xfId="1" applyNumberFormat="1" applyFont="1" applyFill="1" applyBorder="1"/>
    <xf numFmtId="17" fontId="20" fillId="33" borderId="1" xfId="0" applyNumberFormat="1" applyFont="1" applyFill="1" applyBorder="1" applyAlignment="1">
      <alignment horizontal="left"/>
    </xf>
    <xf numFmtId="0" fontId="20" fillId="33" borderId="0" xfId="0" applyFont="1" applyFill="1"/>
    <xf numFmtId="168" fontId="19" fillId="33" borderId="1" xfId="1" applyNumberFormat="1" applyFont="1" applyFill="1" applyBorder="1"/>
    <xf numFmtId="17" fontId="20" fillId="33" borderId="0" xfId="0" applyNumberFormat="1" applyFont="1" applyFill="1" applyAlignment="1">
      <alignment horizontal="left"/>
    </xf>
    <xf numFmtId="0" fontId="0" fillId="33" borderId="0" xfId="0" applyFill="1"/>
    <xf numFmtId="168" fontId="20" fillId="33" borderId="0" xfId="1" applyNumberFormat="1" applyFont="1" applyFill="1" applyBorder="1"/>
    <xf numFmtId="0" fontId="2" fillId="0" borderId="0" xfId="0" applyFont="1"/>
    <xf numFmtId="168" fontId="53" fillId="33" borderId="1" xfId="1" applyNumberFormat="1" applyFont="1" applyFill="1" applyBorder="1" applyAlignment="1">
      <alignment horizontal="right" vertical="center"/>
    </xf>
    <xf numFmtId="0" fontId="55" fillId="0" borderId="0" xfId="0" applyFont="1" applyAlignment="1">
      <alignment vertical="center"/>
    </xf>
    <xf numFmtId="0" fontId="53" fillId="33" borderId="1" xfId="326" applyNumberFormat="1" applyFont="1" applyFill="1" applyBorder="1" applyAlignment="1">
      <alignment horizontal="right" vertical="center" indent="1"/>
    </xf>
    <xf numFmtId="169" fontId="53" fillId="33" borderId="1" xfId="2" applyNumberFormat="1" applyFont="1" applyFill="1" applyBorder="1" applyAlignment="1">
      <alignment horizontal="right" vertical="center" indent="1"/>
    </xf>
    <xf numFmtId="0" fontId="0" fillId="41" borderId="0" xfId="0" applyFill="1"/>
    <xf numFmtId="0" fontId="54" fillId="0" borderId="0" xfId="0" applyFont="1" applyAlignment="1">
      <alignment vertical="center"/>
    </xf>
    <xf numFmtId="0" fontId="0" fillId="0" borderId="0" xfId="0" applyAlignment="1">
      <alignment vertical="center"/>
    </xf>
    <xf numFmtId="0" fontId="57" fillId="0" borderId="0" xfId="0" applyFont="1"/>
    <xf numFmtId="0" fontId="2" fillId="33" borderId="0" xfId="0" applyFont="1" applyFill="1" applyAlignment="1">
      <alignment vertical="center"/>
    </xf>
    <xf numFmtId="0" fontId="2" fillId="41" borderId="0" xfId="0" applyFont="1" applyFill="1" applyAlignment="1">
      <alignment horizontal="right" vertical="center"/>
    </xf>
    <xf numFmtId="0" fontId="51" fillId="41" borderId="0" xfId="0" applyFont="1" applyFill="1" applyAlignment="1">
      <alignment vertical="center"/>
    </xf>
    <xf numFmtId="0" fontId="25" fillId="41" borderId="0" xfId="169" applyFill="1" applyAlignment="1" applyProtection="1"/>
    <xf numFmtId="0" fontId="0" fillId="33" borderId="1" xfId="0" applyFill="1" applyBorder="1" applyAlignment="1">
      <alignment horizontal="center"/>
    </xf>
    <xf numFmtId="41" fontId="0" fillId="0" borderId="0" xfId="326" applyFont="1"/>
    <xf numFmtId="17" fontId="53" fillId="33" borderId="1" xfId="0" applyNumberFormat="1" applyFont="1" applyFill="1" applyBorder="1" applyAlignment="1">
      <alignment horizontal="center" vertical="center"/>
    </xf>
    <xf numFmtId="3" fontId="53" fillId="33" borderId="1" xfId="1" applyNumberFormat="1" applyFont="1" applyFill="1" applyBorder="1" applyAlignment="1">
      <alignment horizontal="center" vertical="center"/>
    </xf>
    <xf numFmtId="169" fontId="0" fillId="0" borderId="1" xfId="2" applyNumberFormat="1" applyFont="1" applyBorder="1" applyAlignment="1">
      <alignment horizontal="center" vertical="center"/>
    </xf>
    <xf numFmtId="3" fontId="53" fillId="33" borderId="1" xfId="0" applyNumberFormat="1" applyFont="1" applyFill="1" applyBorder="1" applyAlignment="1">
      <alignment horizontal="center" vertical="center"/>
    </xf>
    <xf numFmtId="0" fontId="0" fillId="0" borderId="1" xfId="0" applyBorder="1"/>
    <xf numFmtId="42" fontId="0" fillId="33" borderId="1" xfId="350" applyFont="1" applyFill="1" applyBorder="1"/>
    <xf numFmtId="0" fontId="0" fillId="0" borderId="0" xfId="0" applyAlignment="1">
      <alignment wrapText="1"/>
    </xf>
    <xf numFmtId="172" fontId="0" fillId="33" borderId="1" xfId="326" applyNumberFormat="1" applyFont="1" applyFill="1" applyBorder="1"/>
    <xf numFmtId="0" fontId="53" fillId="0" borderId="1" xfId="0" applyFont="1" applyBorder="1" applyAlignment="1">
      <alignment horizontal="center" vertical="center"/>
    </xf>
    <xf numFmtId="169" fontId="53" fillId="0" borderId="1" xfId="2" applyNumberFormat="1" applyFont="1" applyFill="1" applyBorder="1" applyAlignment="1">
      <alignment horizontal="center" vertical="center"/>
    </xf>
    <xf numFmtId="3" fontId="58" fillId="0" borderId="1" xfId="0" applyNumberFormat="1" applyFont="1" applyBorder="1" applyAlignment="1">
      <alignment horizontal="center" vertical="center" wrapText="1"/>
    </xf>
    <xf numFmtId="0" fontId="58" fillId="42" borderId="1" xfId="0" applyFont="1" applyFill="1" applyBorder="1" applyAlignment="1">
      <alignment horizontal="center" vertical="center" wrapText="1"/>
    </xf>
    <xf numFmtId="10" fontId="58" fillId="42" borderId="1" xfId="0" applyNumberFormat="1" applyFont="1" applyFill="1" applyBorder="1" applyAlignment="1">
      <alignment horizontal="center" vertical="center" wrapText="1"/>
    </xf>
    <xf numFmtId="0" fontId="58" fillId="0" borderId="1" xfId="0" applyFont="1" applyBorder="1" applyAlignment="1">
      <alignment horizontal="center" vertical="center" wrapText="1"/>
    </xf>
    <xf numFmtId="10" fontId="58" fillId="0" borderId="1" xfId="0" applyNumberFormat="1" applyFont="1" applyBorder="1" applyAlignment="1">
      <alignment horizontal="center" vertical="center" wrapText="1"/>
    </xf>
    <xf numFmtId="6" fontId="58" fillId="42" borderId="1" xfId="0" applyNumberFormat="1" applyFont="1" applyFill="1" applyBorder="1" applyAlignment="1">
      <alignment horizontal="center" vertical="center"/>
    </xf>
    <xf numFmtId="0" fontId="58" fillId="42" borderId="1" xfId="0" applyFont="1" applyFill="1" applyBorder="1" applyAlignment="1">
      <alignment horizontal="center" vertical="center"/>
    </xf>
    <xf numFmtId="0" fontId="59" fillId="43" borderId="1" xfId="0" applyFont="1" applyFill="1" applyBorder="1" applyAlignment="1">
      <alignment horizontal="center" vertical="center" wrapText="1"/>
    </xf>
    <xf numFmtId="0" fontId="61" fillId="43" borderId="1" xfId="0" applyFont="1" applyFill="1" applyBorder="1" applyAlignment="1">
      <alignment horizontal="center" vertical="center" wrapText="1"/>
    </xf>
    <xf numFmtId="0" fontId="62" fillId="0" borderId="1" xfId="0" applyFont="1" applyBorder="1" applyAlignment="1">
      <alignment horizontal="center" vertical="center" wrapText="1"/>
    </xf>
    <xf numFmtId="0" fontId="62" fillId="42" borderId="1" xfId="0" applyFont="1" applyFill="1" applyBorder="1" applyAlignment="1">
      <alignment horizontal="center" vertical="center" wrapText="1"/>
    </xf>
    <xf numFmtId="6" fontId="62" fillId="42" borderId="1" xfId="0" applyNumberFormat="1" applyFont="1" applyFill="1" applyBorder="1" applyAlignment="1">
      <alignment horizontal="center" vertical="center"/>
    </xf>
    <xf numFmtId="0" fontId="61" fillId="43" borderId="1" xfId="0" applyFont="1" applyFill="1" applyBorder="1" applyAlignment="1">
      <alignment horizontal="center" vertical="center"/>
    </xf>
    <xf numFmtId="42" fontId="2" fillId="33" borderId="1" xfId="350" applyFont="1" applyFill="1" applyBorder="1"/>
    <xf numFmtId="0" fontId="59" fillId="45" borderId="1" xfId="0" applyFont="1" applyFill="1" applyBorder="1" applyAlignment="1">
      <alignment horizontal="center" vertical="center" wrapText="1"/>
    </xf>
    <xf numFmtId="0" fontId="63" fillId="0" borderId="1" xfId="0" applyFont="1" applyBorder="1" applyAlignment="1">
      <alignment horizontal="center" vertical="center"/>
    </xf>
    <xf numFmtId="3" fontId="58" fillId="42" borderId="1" xfId="0" applyNumberFormat="1" applyFont="1" applyFill="1" applyBorder="1" applyAlignment="1">
      <alignment horizontal="center" vertical="center" wrapText="1"/>
    </xf>
    <xf numFmtId="17" fontId="0" fillId="0" borderId="1" xfId="0" applyNumberFormat="1" applyBorder="1"/>
    <xf numFmtId="41" fontId="0" fillId="0" borderId="1" xfId="326" applyFont="1" applyBorder="1"/>
    <xf numFmtId="0" fontId="59" fillId="43" borderId="1" xfId="0" applyFont="1" applyFill="1" applyBorder="1" applyAlignment="1">
      <alignment horizontal="center" vertical="center"/>
    </xf>
    <xf numFmtId="169" fontId="0" fillId="0" borderId="0" xfId="2" applyNumberFormat="1" applyFont="1"/>
    <xf numFmtId="0" fontId="56" fillId="0" borderId="0" xfId="0" applyFont="1" applyAlignment="1">
      <alignment vertical="center"/>
    </xf>
    <xf numFmtId="3" fontId="0" fillId="0" borderId="0" xfId="0" applyNumberFormat="1"/>
    <xf numFmtId="10" fontId="53" fillId="33" borderId="12" xfId="0" applyNumberFormat="1" applyFont="1" applyFill="1" applyBorder="1" applyAlignment="1">
      <alignment horizontal="center" vertical="center"/>
    </xf>
    <xf numFmtId="0" fontId="64" fillId="0" borderId="0" xfId="0" applyFont="1" applyAlignment="1">
      <alignment horizontal="justify" vertical="center"/>
    </xf>
    <xf numFmtId="0" fontId="65" fillId="33" borderId="1" xfId="326" applyNumberFormat="1" applyFont="1" applyFill="1" applyBorder="1" applyAlignment="1">
      <alignment horizontal="center" vertical="center"/>
    </xf>
    <xf numFmtId="42" fontId="65" fillId="33" borderId="1" xfId="350" applyFont="1" applyFill="1" applyBorder="1" applyAlignment="1">
      <alignment horizontal="right" vertical="center" indent="1"/>
    </xf>
    <xf numFmtId="42" fontId="19" fillId="0" borderId="1" xfId="350" applyFont="1" applyBorder="1"/>
    <xf numFmtId="10" fontId="19" fillId="0" borderId="1" xfId="2" applyNumberFormat="1" applyFont="1" applyBorder="1"/>
    <xf numFmtId="0" fontId="66" fillId="43" borderId="1" xfId="0" applyFont="1" applyFill="1" applyBorder="1" applyAlignment="1">
      <alignment horizontal="center" vertical="center"/>
    </xf>
    <xf numFmtId="0" fontId="50" fillId="0" borderId="0" xfId="0" applyFont="1" applyAlignment="1">
      <alignment horizontal="center"/>
    </xf>
    <xf numFmtId="10" fontId="45" fillId="33" borderId="1" xfId="2" applyNumberFormat="1" applyFont="1" applyFill="1" applyBorder="1"/>
    <xf numFmtId="169" fontId="48" fillId="33" borderId="1" xfId="2" applyNumberFormat="1" applyFont="1" applyFill="1" applyBorder="1" applyAlignment="1">
      <alignment horizontal="center" vertical="center"/>
    </xf>
    <xf numFmtId="42" fontId="45" fillId="33" borderId="1" xfId="350" applyFont="1" applyFill="1" applyBorder="1"/>
    <xf numFmtId="168" fontId="48" fillId="0" borderId="0" xfId="0" applyNumberFormat="1" applyFont="1" applyAlignment="1">
      <alignment horizontal="center" vertical="center"/>
    </xf>
    <xf numFmtId="169" fontId="0" fillId="0" borderId="0" xfId="0" applyNumberFormat="1"/>
    <xf numFmtId="42" fontId="0" fillId="0" borderId="0" xfId="0" applyNumberFormat="1"/>
    <xf numFmtId="169" fontId="0" fillId="0" borderId="1" xfId="2" applyNumberFormat="1" applyFont="1" applyBorder="1"/>
    <xf numFmtId="9" fontId="0" fillId="0" borderId="0" xfId="2" applyFont="1"/>
    <xf numFmtId="0" fontId="53" fillId="0" borderId="12" xfId="0" applyFont="1" applyBorder="1" applyAlignment="1">
      <alignment horizontal="center" vertical="center"/>
    </xf>
    <xf numFmtId="6" fontId="72" fillId="42" borderId="1" xfId="0" applyNumberFormat="1" applyFont="1" applyFill="1" applyBorder="1" applyAlignment="1">
      <alignment horizontal="center" vertical="center" wrapText="1"/>
    </xf>
    <xf numFmtId="0" fontId="48" fillId="0" borderId="0" xfId="0" applyFont="1" applyAlignment="1">
      <alignment horizontal="left" vertical="center"/>
    </xf>
    <xf numFmtId="168" fontId="48" fillId="33" borderId="26" xfId="0" applyNumberFormat="1" applyFont="1" applyFill="1" applyBorder="1" applyAlignment="1">
      <alignment horizontal="center" vertical="center"/>
    </xf>
    <xf numFmtId="169" fontId="0" fillId="33" borderId="1" xfId="2" applyNumberFormat="1" applyFont="1" applyFill="1" applyBorder="1" applyAlignment="1">
      <alignment horizontal="center"/>
    </xf>
    <xf numFmtId="0" fontId="2" fillId="33" borderId="0" xfId="0" applyFont="1" applyFill="1" applyAlignment="1">
      <alignment wrapText="1"/>
    </xf>
    <xf numFmtId="10" fontId="53" fillId="33" borderId="1" xfId="2" applyNumberFormat="1" applyFont="1" applyFill="1" applyBorder="1" applyAlignment="1">
      <alignment horizontal="right" vertical="center"/>
    </xf>
    <xf numFmtId="0" fontId="68" fillId="41" borderId="1" xfId="0" applyFont="1" applyFill="1" applyBorder="1" applyAlignment="1">
      <alignment horizontal="center" vertical="center"/>
    </xf>
    <xf numFmtId="0" fontId="0" fillId="46" borderId="0" xfId="0" applyFill="1"/>
    <xf numFmtId="0" fontId="56" fillId="33" borderId="0" xfId="0" applyFont="1" applyFill="1"/>
    <xf numFmtId="0" fontId="2" fillId="46" borderId="0" xfId="0" applyFont="1" applyFill="1" applyAlignment="1">
      <alignment vertical="top"/>
    </xf>
    <xf numFmtId="0" fontId="2" fillId="46" borderId="0" xfId="0" applyFont="1" applyFill="1" applyAlignment="1">
      <alignment wrapText="1"/>
    </xf>
    <xf numFmtId="0" fontId="19" fillId="33" borderId="0" xfId="0" applyFont="1" applyFill="1" applyAlignment="1">
      <alignment vertical="top" wrapText="1"/>
    </xf>
    <xf numFmtId="168" fontId="26" fillId="33" borderId="24" xfId="20" applyNumberFormat="1" applyFont="1" applyFill="1" applyBorder="1" applyAlignment="1">
      <alignment horizontal="center" vertical="center"/>
    </xf>
    <xf numFmtId="168" fontId="26" fillId="33" borderId="28" xfId="20" applyNumberFormat="1" applyFont="1" applyFill="1" applyBorder="1" applyAlignment="1">
      <alignment horizontal="center" vertical="center"/>
    </xf>
    <xf numFmtId="0" fontId="26" fillId="46" borderId="20" xfId="20" applyNumberFormat="1" applyFont="1" applyFill="1" applyBorder="1" applyAlignment="1">
      <alignment horizontal="center" vertical="center" wrapText="1"/>
    </xf>
    <xf numFmtId="0" fontId="2" fillId="41" borderId="1" xfId="0" applyFont="1" applyFill="1" applyBorder="1" applyAlignment="1">
      <alignment horizontal="center" vertical="center"/>
    </xf>
    <xf numFmtId="0" fontId="48" fillId="33" borderId="1" xfId="0" applyFont="1" applyFill="1" applyBorder="1" applyAlignment="1">
      <alignment horizontal="center" vertical="center"/>
    </xf>
    <xf numFmtId="168" fontId="67" fillId="33" borderId="1" xfId="0" applyNumberFormat="1" applyFont="1" applyFill="1" applyBorder="1"/>
    <xf numFmtId="168" fontId="67" fillId="41" borderId="1" xfId="0" applyNumberFormat="1" applyFont="1" applyFill="1" applyBorder="1"/>
    <xf numFmtId="0" fontId="53" fillId="33" borderId="1" xfId="0" applyFont="1" applyFill="1" applyBorder="1" applyAlignment="1">
      <alignment horizontal="center" vertical="center"/>
    </xf>
    <xf numFmtId="0" fontId="53" fillId="41" borderId="1" xfId="0" applyFont="1" applyFill="1" applyBorder="1" applyAlignment="1">
      <alignment horizontal="center" vertical="center"/>
    </xf>
    <xf numFmtId="0" fontId="2" fillId="33" borderId="1" xfId="0" applyFont="1" applyFill="1" applyBorder="1" applyAlignment="1">
      <alignment horizontal="center" vertical="center"/>
    </xf>
    <xf numFmtId="169" fontId="0" fillId="41" borderId="1" xfId="2" applyNumberFormat="1" applyFont="1" applyFill="1" applyBorder="1" applyAlignment="1">
      <alignment horizontal="center"/>
    </xf>
    <xf numFmtId="0" fontId="68" fillId="41" borderId="1" xfId="0" applyFont="1" applyFill="1" applyBorder="1" applyAlignment="1">
      <alignment horizontal="center" vertical="center" wrapText="1"/>
    </xf>
    <xf numFmtId="174" fontId="74" fillId="48" borderId="0" xfId="0" applyNumberFormat="1" applyFont="1" applyFill="1" applyAlignment="1">
      <alignment vertical="center"/>
    </xf>
    <xf numFmtId="174" fontId="75" fillId="48" borderId="0" xfId="0" applyNumberFormat="1" applyFont="1" applyFill="1" applyAlignment="1">
      <alignment vertical="center"/>
    </xf>
    <xf numFmtId="49" fontId="74" fillId="49" borderId="29" xfId="0" applyNumberFormat="1" applyFont="1" applyFill="1" applyBorder="1" applyAlignment="1">
      <alignment vertical="center"/>
    </xf>
    <xf numFmtId="174" fontId="74" fillId="48" borderId="16" xfId="0" applyNumberFormat="1" applyFont="1" applyFill="1" applyBorder="1" applyAlignment="1">
      <alignment vertical="center"/>
    </xf>
    <xf numFmtId="0" fontId="75" fillId="48" borderId="16" xfId="357" applyFont="1" applyFill="1" applyBorder="1" applyAlignment="1">
      <alignment horizontal="left" vertical="center"/>
    </xf>
    <xf numFmtId="175" fontId="74" fillId="48" borderId="15" xfId="0" applyNumberFormat="1" applyFont="1" applyFill="1" applyBorder="1" applyAlignment="1">
      <alignment vertical="center"/>
    </xf>
    <xf numFmtId="0" fontId="77" fillId="33" borderId="15" xfId="0" applyFont="1" applyFill="1" applyBorder="1" applyAlignment="1">
      <alignment horizontal="center" vertical="center"/>
    </xf>
    <xf numFmtId="0" fontId="78" fillId="50" borderId="15" xfId="0" applyFont="1" applyFill="1" applyBorder="1" applyAlignment="1">
      <alignment horizontal="center" vertical="center"/>
    </xf>
    <xf numFmtId="169" fontId="79" fillId="48" borderId="0" xfId="2" applyNumberFormat="1" applyFont="1" applyFill="1" applyAlignment="1">
      <alignment vertical="center"/>
    </xf>
    <xf numFmtId="0" fontId="77" fillId="33" borderId="0" xfId="0" applyFont="1" applyFill="1" applyAlignment="1">
      <alignment horizontal="center" vertical="center"/>
    </xf>
    <xf numFmtId="0" fontId="78" fillId="51" borderId="0" xfId="0" applyFont="1" applyFill="1" applyAlignment="1">
      <alignment horizontal="center" vertical="center"/>
    </xf>
    <xf numFmtId="0" fontId="77" fillId="51" borderId="0" xfId="0" applyFont="1" applyFill="1" applyAlignment="1">
      <alignment horizontal="center" vertical="center"/>
    </xf>
    <xf numFmtId="175" fontId="74" fillId="48" borderId="0" xfId="0" applyNumberFormat="1" applyFont="1" applyFill="1" applyAlignment="1">
      <alignment vertical="center"/>
    </xf>
    <xf numFmtId="0" fontId="74" fillId="48" borderId="0" xfId="357" applyFont="1" applyFill="1" applyAlignment="1">
      <alignment horizontal="center" vertical="center"/>
    </xf>
    <xf numFmtId="0" fontId="77" fillId="33" borderId="0" xfId="0" applyFont="1" applyFill="1" applyAlignment="1">
      <alignment horizontal="center" vertical="center" wrapText="1"/>
    </xf>
    <xf numFmtId="174" fontId="80" fillId="48" borderId="0" xfId="0" applyNumberFormat="1" applyFont="1" applyFill="1" applyAlignment="1">
      <alignment vertical="center"/>
    </xf>
    <xf numFmtId="0" fontId="80" fillId="33" borderId="15" xfId="0" applyFont="1" applyFill="1" applyBorder="1" applyAlignment="1">
      <alignment horizontal="center" vertical="center"/>
    </xf>
    <xf numFmtId="0" fontId="80" fillId="41" borderId="15" xfId="0" applyFont="1" applyFill="1" applyBorder="1" applyAlignment="1">
      <alignment horizontal="center" vertical="center"/>
    </xf>
    <xf numFmtId="0" fontId="81" fillId="33" borderId="15" xfId="0" applyFont="1" applyFill="1" applyBorder="1" applyAlignment="1">
      <alignment horizontal="center" vertical="center"/>
    </xf>
    <xf numFmtId="174" fontId="79" fillId="48" borderId="0" xfId="0" applyNumberFormat="1" applyFont="1" applyFill="1" applyAlignment="1">
      <alignment vertical="center"/>
    </xf>
    <xf numFmtId="174" fontId="82" fillId="48" borderId="30" xfId="0" applyNumberFormat="1" applyFont="1" applyFill="1" applyBorder="1" applyAlignment="1">
      <alignment horizontal="center" vertical="center" wrapText="1"/>
    </xf>
    <xf numFmtId="174" fontId="82" fillId="52" borderId="30" xfId="0" applyNumberFormat="1" applyFont="1" applyFill="1" applyBorder="1" applyAlignment="1">
      <alignment horizontal="center" vertical="center" wrapText="1"/>
    </xf>
    <xf numFmtId="0" fontId="82" fillId="33" borderId="16" xfId="0" applyFont="1" applyFill="1" applyBorder="1" applyAlignment="1">
      <alignment horizontal="center" vertical="center" wrapText="1"/>
    </xf>
    <xf numFmtId="0" fontId="82" fillId="33" borderId="16" xfId="0" applyFont="1" applyFill="1" applyBorder="1" applyAlignment="1">
      <alignment horizontal="center" vertical="center"/>
    </xf>
    <xf numFmtId="174" fontId="83" fillId="33" borderId="0" xfId="0" applyNumberFormat="1" applyFont="1" applyFill="1" applyAlignment="1">
      <alignment horizontal="center" vertical="center"/>
    </xf>
    <xf numFmtId="174" fontId="77" fillId="33" borderId="0" xfId="0" applyNumberFormat="1" applyFont="1" applyFill="1" applyAlignment="1">
      <alignment vertical="center"/>
    </xf>
    <xf numFmtId="174" fontId="83" fillId="33" borderId="0" xfId="0" applyNumberFormat="1" applyFont="1" applyFill="1" applyAlignment="1">
      <alignment vertical="center"/>
    </xf>
    <xf numFmtId="174" fontId="83" fillId="33" borderId="0" xfId="0" applyNumberFormat="1" applyFont="1" applyFill="1" applyAlignment="1">
      <alignment horizontal="left" vertical="center"/>
    </xf>
    <xf numFmtId="174" fontId="84" fillId="33" borderId="0" xfId="327" applyNumberFormat="1" applyFont="1" applyFill="1" applyAlignment="1">
      <alignment horizontal="left" vertical="center"/>
    </xf>
    <xf numFmtId="0" fontId="74" fillId="0" borderId="0" xfId="0" applyFont="1" applyAlignment="1">
      <alignment vertical="center"/>
    </xf>
    <xf numFmtId="0" fontId="74" fillId="0" borderId="0" xfId="0" applyFont="1" applyAlignment="1">
      <alignment horizontal="center" vertical="center"/>
    </xf>
    <xf numFmtId="176" fontId="74" fillId="49" borderId="31" xfId="0" applyNumberFormat="1" applyFont="1" applyFill="1" applyBorder="1" applyAlignment="1">
      <alignment vertical="center"/>
    </xf>
    <xf numFmtId="0" fontId="74" fillId="49" borderId="31" xfId="0" applyFont="1" applyFill="1" applyBorder="1" applyAlignment="1">
      <alignment horizontal="center" vertical="center"/>
    </xf>
    <xf numFmtId="0" fontId="74" fillId="49" borderId="32" xfId="0" applyFont="1" applyFill="1" applyBorder="1" applyAlignment="1">
      <alignment vertical="center"/>
    </xf>
    <xf numFmtId="176" fontId="74" fillId="49" borderId="0" xfId="0" applyNumberFormat="1" applyFont="1" applyFill="1" applyAlignment="1">
      <alignment vertical="center"/>
    </xf>
    <xf numFmtId="0" fontId="74" fillId="49" borderId="0" xfId="0" applyFont="1" applyFill="1" applyAlignment="1">
      <alignment horizontal="center" vertical="center"/>
    </xf>
    <xf numFmtId="0" fontId="74" fillId="49" borderId="29" xfId="0" applyFont="1" applyFill="1" applyBorder="1" applyAlignment="1">
      <alignment vertical="center"/>
    </xf>
    <xf numFmtId="176" fontId="74" fillId="49" borderId="0" xfId="0" applyNumberFormat="1" applyFont="1" applyFill="1" applyAlignment="1">
      <alignment horizontal="center" vertical="center"/>
    </xf>
    <xf numFmtId="176" fontId="74" fillId="49" borderId="29" xfId="0" applyNumberFormat="1" applyFont="1" applyFill="1" applyBorder="1" applyAlignment="1">
      <alignment vertical="center"/>
    </xf>
    <xf numFmtId="177" fontId="74" fillId="49" borderId="0" xfId="0" applyNumberFormat="1" applyFont="1" applyFill="1" applyAlignment="1">
      <alignment vertical="center"/>
    </xf>
    <xf numFmtId="0" fontId="75" fillId="0" borderId="0" xfId="0" applyFont="1" applyAlignment="1">
      <alignment vertical="center"/>
    </xf>
    <xf numFmtId="9" fontId="75" fillId="33" borderId="33" xfId="2" applyFont="1" applyFill="1" applyBorder="1" applyAlignment="1">
      <alignment horizontal="center" vertical="center"/>
    </xf>
    <xf numFmtId="0" fontId="74" fillId="33" borderId="0" xfId="0" applyFont="1" applyFill="1" applyAlignment="1">
      <alignment vertical="center"/>
    </xf>
    <xf numFmtId="0" fontId="81" fillId="0" borderId="0" xfId="0" applyFont="1" applyAlignment="1">
      <alignment vertical="center"/>
    </xf>
    <xf numFmtId="0" fontId="82" fillId="49" borderId="34" xfId="0" applyFont="1" applyFill="1" applyBorder="1" applyAlignment="1">
      <alignment horizontal="center" vertical="center" wrapText="1"/>
    </xf>
    <xf numFmtId="49" fontId="82" fillId="49" borderId="34" xfId="0" applyNumberFormat="1" applyFont="1" applyFill="1" applyBorder="1" applyAlignment="1">
      <alignment horizontal="center" vertical="center" wrapText="1"/>
    </xf>
    <xf numFmtId="0" fontId="74" fillId="49" borderId="31" xfId="0" applyFont="1" applyFill="1" applyBorder="1" applyAlignment="1">
      <alignment vertical="center"/>
    </xf>
    <xf numFmtId="0" fontId="74" fillId="49" borderId="0" xfId="0" applyFont="1" applyFill="1" applyAlignment="1">
      <alignment vertical="center"/>
    </xf>
    <xf numFmtId="169" fontId="74" fillId="0" borderId="0" xfId="2" applyNumberFormat="1" applyFont="1" applyAlignment="1">
      <alignment vertical="center"/>
    </xf>
    <xf numFmtId="174" fontId="74" fillId="48" borderId="0" xfId="0" applyNumberFormat="1" applyFont="1" applyFill="1" applyAlignment="1">
      <alignment horizontal="center" vertical="center"/>
    </xf>
    <xf numFmtId="174" fontId="75" fillId="48" borderId="0" xfId="0" applyNumberFormat="1" applyFont="1" applyFill="1" applyAlignment="1">
      <alignment horizontal="center" vertical="center"/>
    </xf>
    <xf numFmtId="174" fontId="74" fillId="48" borderId="16" xfId="0" applyNumberFormat="1" applyFont="1" applyFill="1" applyBorder="1" applyAlignment="1">
      <alignment horizontal="center" vertical="center"/>
    </xf>
    <xf numFmtId="175" fontId="74" fillId="48" borderId="15" xfId="0" applyNumberFormat="1" applyFont="1" applyFill="1" applyBorder="1" applyAlignment="1">
      <alignment horizontal="center" vertical="center"/>
    </xf>
    <xf numFmtId="4" fontId="74" fillId="48" borderId="15" xfId="0" applyNumberFormat="1" applyFont="1" applyFill="1" applyBorder="1" applyAlignment="1">
      <alignment horizontal="center" vertical="center"/>
    </xf>
    <xf numFmtId="4" fontId="74" fillId="48" borderId="15" xfId="0" applyNumberFormat="1" applyFont="1" applyFill="1" applyBorder="1" applyAlignment="1">
      <alignment horizontal="right" vertical="center" indent="2"/>
    </xf>
    <xf numFmtId="4" fontId="77" fillId="48" borderId="15" xfId="0" applyNumberFormat="1" applyFont="1" applyFill="1" applyBorder="1" applyAlignment="1">
      <alignment horizontal="right" vertical="center" indent="2"/>
    </xf>
    <xf numFmtId="178" fontId="77" fillId="41" borderId="0" xfId="0" applyNumberFormat="1" applyFont="1" applyFill="1" applyAlignment="1">
      <alignment horizontal="center"/>
    </xf>
    <xf numFmtId="178" fontId="77" fillId="33" borderId="0" xfId="0" applyNumberFormat="1" applyFont="1" applyFill="1" applyAlignment="1">
      <alignment horizontal="center"/>
    </xf>
    <xf numFmtId="4" fontId="77" fillId="41" borderId="0" xfId="0" applyNumberFormat="1" applyFont="1" applyFill="1" applyAlignment="1">
      <alignment horizontal="center"/>
    </xf>
    <xf numFmtId="4" fontId="77" fillId="33" borderId="0" xfId="0" applyNumberFormat="1" applyFont="1" applyFill="1" applyAlignment="1">
      <alignment horizontal="center"/>
    </xf>
    <xf numFmtId="174" fontId="74" fillId="48" borderId="1" xfId="0" applyNumberFormat="1" applyFont="1" applyFill="1" applyBorder="1" applyAlignment="1">
      <alignment vertical="center"/>
    </xf>
    <xf numFmtId="9" fontId="80" fillId="48" borderId="0" xfId="2" applyFont="1" applyFill="1" applyAlignment="1">
      <alignment vertical="center"/>
    </xf>
    <xf numFmtId="4" fontId="80" fillId="33" borderId="0" xfId="0" applyNumberFormat="1" applyFont="1" applyFill="1" applyAlignment="1">
      <alignment horizontal="center" vertical="center"/>
    </xf>
    <xf numFmtId="0" fontId="80" fillId="33" borderId="0" xfId="0" applyFont="1" applyFill="1" applyAlignment="1">
      <alignment horizontal="center" vertical="center"/>
    </xf>
    <xf numFmtId="0" fontId="81" fillId="33" borderId="0" xfId="0" applyFont="1" applyFill="1" applyAlignment="1">
      <alignment horizontal="center" vertical="center"/>
    </xf>
    <xf numFmtId="9" fontId="82" fillId="48" borderId="30" xfId="0" applyNumberFormat="1" applyFont="1" applyFill="1" applyBorder="1" applyAlignment="1">
      <alignment horizontal="center" vertical="center" wrapText="1"/>
    </xf>
    <xf numFmtId="9" fontId="82" fillId="52" borderId="30" xfId="0" applyNumberFormat="1" applyFont="1" applyFill="1" applyBorder="1" applyAlignment="1">
      <alignment horizontal="center" vertical="center" wrapText="1"/>
    </xf>
    <xf numFmtId="174" fontId="77" fillId="33" borderId="0" xfId="0" applyNumberFormat="1" applyFont="1" applyFill="1" applyAlignment="1">
      <alignment horizontal="center" vertical="center"/>
    </xf>
    <xf numFmtId="0" fontId="86" fillId="0" borderId="0" xfId="0" applyFont="1" applyAlignment="1">
      <alignment horizontal="left"/>
    </xf>
    <xf numFmtId="0" fontId="87" fillId="0" borderId="0" xfId="0" applyFont="1" applyAlignment="1">
      <alignment horizontal="left"/>
    </xf>
    <xf numFmtId="0" fontId="88" fillId="0" borderId="0" xfId="0" applyFont="1" applyAlignment="1">
      <alignment horizontal="left"/>
    </xf>
    <xf numFmtId="179" fontId="69" fillId="53" borderId="35" xfId="0" applyNumberFormat="1" applyFont="1" applyFill="1" applyBorder="1" applyAlignment="1">
      <alignment horizontal="right"/>
    </xf>
    <xf numFmtId="0" fontId="89" fillId="54" borderId="36" xfId="0" applyFont="1" applyFill="1" applyBorder="1" applyAlignment="1">
      <alignment horizontal="left" wrapText="1"/>
    </xf>
    <xf numFmtId="0" fontId="90" fillId="55" borderId="0" xfId="0" applyFont="1" applyFill="1" applyAlignment="1">
      <alignment horizontal="center"/>
    </xf>
    <xf numFmtId="0" fontId="86" fillId="56" borderId="37" xfId="0" applyFont="1" applyFill="1" applyBorder="1" applyAlignment="1">
      <alignment vertical="top" wrapText="1"/>
    </xf>
    <xf numFmtId="179" fontId="69" fillId="0" borderId="35" xfId="0" applyNumberFormat="1" applyFont="1" applyBorder="1" applyAlignment="1">
      <alignment horizontal="right"/>
    </xf>
    <xf numFmtId="0" fontId="89" fillId="0" borderId="36" xfId="0" applyFont="1" applyBorder="1" applyAlignment="1">
      <alignment horizontal="left" wrapText="1"/>
    </xf>
    <xf numFmtId="0" fontId="90" fillId="55" borderId="37" xfId="0" applyFont="1" applyFill="1" applyBorder="1" applyAlignment="1">
      <alignment horizontal="center"/>
    </xf>
    <xf numFmtId="0" fontId="91" fillId="57" borderId="38" xfId="0" applyFont="1" applyFill="1" applyBorder="1" applyAlignment="1">
      <alignment horizontal="center" vertical="top" wrapText="1"/>
    </xf>
    <xf numFmtId="0" fontId="91" fillId="57" borderId="39" xfId="0" applyFont="1" applyFill="1" applyBorder="1" applyAlignment="1">
      <alignment horizontal="center" vertical="top" wrapText="1"/>
    </xf>
    <xf numFmtId="0" fontId="87" fillId="56" borderId="37" xfId="0" applyFont="1" applyFill="1" applyBorder="1" applyAlignment="1">
      <alignment wrapText="1"/>
    </xf>
    <xf numFmtId="0" fontId="93" fillId="0" borderId="37" xfId="0" applyFont="1" applyBorder="1" applyAlignment="1">
      <alignment horizontal="left" wrapText="1"/>
    </xf>
    <xf numFmtId="0" fontId="69" fillId="0" borderId="37" xfId="0" applyFont="1" applyBorder="1"/>
    <xf numFmtId="0" fontId="2" fillId="0" borderId="0" xfId="0" applyFont="1" applyAlignment="1">
      <alignment horizontal="center"/>
    </xf>
    <xf numFmtId="0" fontId="2" fillId="0" borderId="0" xfId="0" applyFont="1" applyAlignment="1">
      <alignment horizontal="left"/>
    </xf>
    <xf numFmtId="180" fontId="0" fillId="0" borderId="0" xfId="326" applyNumberFormat="1" applyFont="1"/>
    <xf numFmtId="41" fontId="0" fillId="0" borderId="0" xfId="0" applyNumberFormat="1" applyAlignment="1">
      <alignment wrapText="1"/>
    </xf>
    <xf numFmtId="9" fontId="0" fillId="0" borderId="0" xfId="2" applyFont="1" applyAlignment="1">
      <alignment wrapText="1"/>
    </xf>
    <xf numFmtId="169" fontId="0" fillId="0" borderId="0" xfId="2" applyNumberFormat="1" applyFont="1" applyAlignment="1">
      <alignment wrapText="1"/>
    </xf>
    <xf numFmtId="41" fontId="0" fillId="0" borderId="0" xfId="326" applyFont="1" applyAlignment="1">
      <alignment wrapText="1"/>
    </xf>
    <xf numFmtId="181" fontId="0" fillId="0" borderId="0" xfId="326" applyNumberFormat="1" applyFont="1"/>
    <xf numFmtId="174" fontId="74" fillId="48" borderId="15" xfId="0" applyNumberFormat="1" applyFont="1" applyFill="1" applyBorder="1" applyAlignment="1">
      <alignment horizontal="center" vertical="center"/>
    </xf>
    <xf numFmtId="0" fontId="78" fillId="33" borderId="0" xfId="0" applyFont="1" applyFill="1" applyAlignment="1">
      <alignment vertical="center"/>
    </xf>
    <xf numFmtId="174" fontId="74" fillId="48" borderId="0" xfId="0" applyNumberFormat="1" applyFont="1" applyFill="1" applyAlignment="1">
      <alignment horizontal="left" vertical="center"/>
    </xf>
    <xf numFmtId="4" fontId="74" fillId="48" borderId="0" xfId="0" applyNumberFormat="1" applyFont="1" applyFill="1" applyAlignment="1">
      <alignment horizontal="center" vertical="center"/>
    </xf>
    <xf numFmtId="4" fontId="75" fillId="48" borderId="0" xfId="0" applyNumberFormat="1" applyFont="1" applyFill="1" applyAlignment="1">
      <alignment horizontal="center" vertical="center"/>
    </xf>
    <xf numFmtId="174" fontId="75" fillId="48" borderId="0" xfId="0" applyNumberFormat="1" applyFont="1" applyFill="1" applyAlignment="1">
      <alignment horizontal="left" vertical="center"/>
    </xf>
    <xf numFmtId="0" fontId="78" fillId="33" borderId="15" xfId="0" applyFont="1" applyFill="1" applyBorder="1" applyAlignment="1">
      <alignment horizontal="center" vertical="center"/>
    </xf>
    <xf numFmtId="0" fontId="74" fillId="48" borderId="15" xfId="0" applyFont="1" applyFill="1" applyBorder="1" applyAlignment="1">
      <alignment horizontal="center" vertical="center"/>
    </xf>
    <xf numFmtId="4" fontId="78" fillId="33" borderId="0" xfId="0" applyNumberFormat="1" applyFont="1" applyFill="1" applyAlignment="1">
      <alignment horizontal="center"/>
    </xf>
    <xf numFmtId="0" fontId="78" fillId="33" borderId="0" xfId="0" applyFont="1" applyFill="1" applyAlignment="1">
      <alignment horizontal="center" vertical="center"/>
    </xf>
    <xf numFmtId="0" fontId="74" fillId="48" borderId="0" xfId="0" applyFont="1" applyFill="1" applyAlignment="1">
      <alignment horizontal="center" vertical="center"/>
    </xf>
    <xf numFmtId="0" fontId="78" fillId="33" borderId="0" xfId="0" applyFont="1" applyFill="1" applyAlignment="1">
      <alignment horizontal="center" vertical="center" wrapText="1"/>
    </xf>
    <xf numFmtId="0" fontId="80" fillId="33" borderId="30" xfId="0" applyFont="1" applyFill="1" applyBorder="1" applyAlignment="1">
      <alignment horizontal="center" vertical="center"/>
    </xf>
    <xf numFmtId="0" fontId="81" fillId="33" borderId="16" xfId="0" applyFont="1" applyFill="1" applyBorder="1" applyAlignment="1">
      <alignment horizontal="center" vertical="center" wrapText="1"/>
    </xf>
    <xf numFmtId="0" fontId="81" fillId="33" borderId="16" xfId="0" applyFont="1" applyFill="1" applyBorder="1" applyAlignment="1">
      <alignment horizontal="center" vertical="center"/>
    </xf>
    <xf numFmtId="174" fontId="95" fillId="33" borderId="0" xfId="0" applyNumberFormat="1" applyFont="1" applyFill="1" applyAlignment="1">
      <alignment horizontal="center" vertical="center"/>
    </xf>
    <xf numFmtId="174" fontId="78" fillId="33" borderId="0" xfId="0" applyNumberFormat="1" applyFont="1" applyFill="1" applyAlignment="1">
      <alignment horizontal="center" vertical="center"/>
    </xf>
    <xf numFmtId="174" fontId="78" fillId="33" borderId="0" xfId="0" applyNumberFormat="1" applyFont="1" applyFill="1" applyAlignment="1">
      <alignment horizontal="left" vertical="center"/>
    </xf>
    <xf numFmtId="174" fontId="95" fillId="33" borderId="0" xfId="0" applyNumberFormat="1" applyFont="1" applyFill="1" applyAlignment="1">
      <alignment horizontal="left" vertical="center"/>
    </xf>
    <xf numFmtId="174" fontId="84" fillId="33" borderId="0" xfId="0" applyNumberFormat="1" applyFont="1" applyFill="1" applyAlignment="1">
      <alignment horizontal="left" vertical="center"/>
    </xf>
    <xf numFmtId="0" fontId="96" fillId="33" borderId="0" xfId="0" applyFont="1" applyFill="1" applyAlignment="1">
      <alignment vertical="center"/>
    </xf>
    <xf numFmtId="0" fontId="96" fillId="33" borderId="0" xfId="0" applyFont="1" applyFill="1" applyAlignment="1">
      <alignment horizontal="left" vertical="center"/>
    </xf>
    <xf numFmtId="169" fontId="96" fillId="33" borderId="0" xfId="2" applyNumberFormat="1" applyFont="1" applyFill="1" applyAlignment="1">
      <alignment vertical="center"/>
    </xf>
    <xf numFmtId="0" fontId="96" fillId="33" borderId="0" xfId="0" applyFont="1" applyFill="1" applyAlignment="1">
      <alignment horizontal="centerContinuous" vertical="center" wrapText="1"/>
    </xf>
    <xf numFmtId="169" fontId="96" fillId="33" borderId="0" xfId="2" applyNumberFormat="1" applyFont="1" applyFill="1" applyAlignment="1">
      <alignment horizontal="center" vertical="center"/>
    </xf>
    <xf numFmtId="0" fontId="96" fillId="33" borderId="0" xfId="0" applyFont="1" applyFill="1" applyAlignment="1">
      <alignment horizontal="center" vertical="center"/>
    </xf>
    <xf numFmtId="0" fontId="97" fillId="33" borderId="0" xfId="0" applyFont="1" applyFill="1" applyAlignment="1">
      <alignment horizontal="left" vertical="center"/>
    </xf>
    <xf numFmtId="0" fontId="98" fillId="33" borderId="0" xfId="327" applyFont="1" applyFill="1" applyAlignment="1">
      <alignment horizontal="left" vertical="center"/>
    </xf>
    <xf numFmtId="3" fontId="96" fillId="33" borderId="15" xfId="0" applyNumberFormat="1" applyFont="1" applyFill="1" applyBorder="1" applyAlignment="1">
      <alignment horizontal="center" vertical="center"/>
    </xf>
    <xf numFmtId="17" fontId="96" fillId="33" borderId="15" xfId="0" applyNumberFormat="1" applyFont="1" applyFill="1" applyBorder="1" applyAlignment="1">
      <alignment horizontal="left" vertical="center"/>
    </xf>
    <xf numFmtId="17" fontId="96" fillId="33" borderId="15" xfId="0" applyNumberFormat="1" applyFont="1" applyFill="1" applyBorder="1" applyAlignment="1">
      <alignment horizontal="center" vertical="center"/>
    </xf>
    <xf numFmtId="3" fontId="96" fillId="33" borderId="0" xfId="0" applyNumberFormat="1" applyFont="1" applyFill="1" applyAlignment="1">
      <alignment horizontal="center" vertical="center"/>
    </xf>
    <xf numFmtId="17" fontId="96" fillId="33" borderId="0" xfId="0" applyNumberFormat="1" applyFont="1" applyFill="1" applyAlignment="1">
      <alignment horizontal="left" vertical="center"/>
    </xf>
    <xf numFmtId="17" fontId="96" fillId="33" borderId="0" xfId="0" applyNumberFormat="1" applyFont="1" applyFill="1" applyAlignment="1">
      <alignment horizontal="center" vertical="center"/>
    </xf>
    <xf numFmtId="3" fontId="96" fillId="33" borderId="0" xfId="132" applyNumberFormat="1" applyFont="1" applyFill="1" applyAlignment="1">
      <alignment horizontal="center" vertical="center"/>
    </xf>
    <xf numFmtId="3" fontId="96" fillId="33" borderId="0" xfId="130" applyNumberFormat="1" applyFont="1" applyFill="1" applyAlignment="1">
      <alignment horizontal="center" vertical="center"/>
    </xf>
    <xf numFmtId="0" fontId="99" fillId="33" borderId="15" xfId="0" applyFont="1" applyFill="1" applyBorder="1" applyAlignment="1">
      <alignment horizontal="center" vertical="center" wrapText="1"/>
    </xf>
    <xf numFmtId="0" fontId="100" fillId="33" borderId="15" xfId="0" applyFont="1" applyFill="1" applyBorder="1" applyAlignment="1">
      <alignment horizontal="left" vertical="center" wrapText="1"/>
    </xf>
    <xf numFmtId="0" fontId="100" fillId="33" borderId="15" xfId="0" applyFont="1" applyFill="1" applyBorder="1" applyAlignment="1">
      <alignment horizontal="center" vertical="center" wrapText="1"/>
    </xf>
    <xf numFmtId="0" fontId="100" fillId="33" borderId="30" xfId="0" applyFont="1" applyFill="1" applyBorder="1" applyAlignment="1">
      <alignment horizontal="center" vertical="center" wrapText="1"/>
    </xf>
    <xf numFmtId="0" fontId="100" fillId="33" borderId="16" xfId="0" applyFont="1" applyFill="1" applyBorder="1" applyAlignment="1">
      <alignment horizontal="left" vertical="center" wrapText="1"/>
    </xf>
    <xf numFmtId="0" fontId="100" fillId="33" borderId="16" xfId="0" applyFont="1" applyFill="1" applyBorder="1" applyAlignment="1">
      <alignment horizontal="center" vertical="center" wrapText="1"/>
    </xf>
    <xf numFmtId="174" fontId="101" fillId="48" borderId="0" xfId="357" applyNumberFormat="1" applyFont="1" applyFill="1" applyAlignment="1">
      <alignment vertical="center"/>
    </xf>
    <xf numFmtId="0" fontId="97" fillId="33" borderId="0" xfId="0" applyFont="1" applyFill="1" applyAlignment="1">
      <alignment vertical="center"/>
    </xf>
    <xf numFmtId="0" fontId="98" fillId="33" borderId="0" xfId="327" applyFont="1" applyFill="1" applyAlignment="1">
      <alignment vertical="center"/>
    </xf>
    <xf numFmtId="17" fontId="0" fillId="0" borderId="0" xfId="0" applyNumberFormat="1"/>
    <xf numFmtId="0" fontId="102" fillId="0" borderId="0" xfId="0" applyFont="1" applyAlignment="1">
      <alignment vertical="center"/>
    </xf>
    <xf numFmtId="3" fontId="103" fillId="0" borderId="41" xfId="0" applyNumberFormat="1" applyFont="1" applyBorder="1" applyAlignment="1">
      <alignment horizontal="right" vertical="center" wrapText="1"/>
    </xf>
    <xf numFmtId="41" fontId="103" fillId="0" borderId="42" xfId="326" applyFont="1" applyBorder="1" applyAlignment="1">
      <alignment vertical="center" wrapText="1"/>
    </xf>
    <xf numFmtId="0" fontId="103" fillId="0" borderId="43" xfId="0" applyFont="1" applyBorder="1" applyAlignment="1">
      <alignment vertical="center" wrapText="1"/>
    </xf>
    <xf numFmtId="3" fontId="103" fillId="0" borderId="44" xfId="0" applyNumberFormat="1" applyFont="1" applyBorder="1" applyAlignment="1">
      <alignment horizontal="right" vertical="center" wrapText="1"/>
    </xf>
    <xf numFmtId="41" fontId="103" fillId="0" borderId="45" xfId="326" applyFont="1" applyBorder="1" applyAlignment="1">
      <alignment vertical="center" wrapText="1"/>
    </xf>
    <xf numFmtId="0" fontId="103" fillId="0" borderId="46" xfId="0" applyFont="1" applyBorder="1" applyAlignment="1">
      <alignment vertical="center" wrapText="1"/>
    </xf>
    <xf numFmtId="0" fontId="103" fillId="0" borderId="47" xfId="0" applyFont="1" applyBorder="1" applyAlignment="1">
      <alignment vertical="center" wrapText="1"/>
    </xf>
    <xf numFmtId="0" fontId="103" fillId="0" borderId="48" xfId="0" applyFont="1" applyBorder="1" applyAlignment="1">
      <alignment vertical="center" wrapText="1"/>
    </xf>
    <xf numFmtId="0" fontId="103" fillId="0" borderId="49" xfId="0" applyFont="1" applyBorder="1" applyAlignment="1">
      <alignment vertical="center" wrapText="1"/>
    </xf>
    <xf numFmtId="0" fontId="104" fillId="0" borderId="0" xfId="358"/>
    <xf numFmtId="0" fontId="105" fillId="0" borderId="0" xfId="0" applyFont="1" applyAlignment="1">
      <alignment horizontal="center" vertical="center"/>
    </xf>
    <xf numFmtId="174" fontId="106" fillId="48" borderId="0" xfId="0" applyNumberFormat="1" applyFont="1" applyFill="1" applyAlignment="1">
      <alignment vertical="center"/>
    </xf>
    <xf numFmtId="174" fontId="107" fillId="48" borderId="0" xfId="0" applyNumberFormat="1" applyFont="1" applyFill="1" applyAlignment="1">
      <alignment vertical="center"/>
    </xf>
    <xf numFmtId="0" fontId="108" fillId="60" borderId="53" xfId="0" applyFont="1" applyFill="1" applyBorder="1" applyAlignment="1">
      <alignment horizontal="center" vertical="center" wrapText="1"/>
    </xf>
    <xf numFmtId="0" fontId="109" fillId="0" borderId="19" xfId="0" applyFont="1" applyBorder="1" applyAlignment="1">
      <alignment horizontal="center" vertical="center"/>
    </xf>
    <xf numFmtId="0" fontId="109" fillId="0" borderId="17" xfId="0" applyFont="1" applyBorder="1" applyAlignment="1">
      <alignment horizontal="center" vertical="center" wrapText="1"/>
    </xf>
    <xf numFmtId="0" fontId="72" fillId="61" borderId="19" xfId="0" applyFont="1" applyFill="1" applyBorder="1" applyAlignment="1">
      <alignment horizontal="center" vertical="center"/>
    </xf>
    <xf numFmtId="0" fontId="72" fillId="62" borderId="19" xfId="0" applyFont="1" applyFill="1" applyBorder="1" applyAlignment="1">
      <alignment horizontal="center" vertical="center"/>
    </xf>
    <xf numFmtId="0" fontId="0" fillId="61" borderId="19" xfId="0" applyFill="1" applyBorder="1" applyAlignment="1">
      <alignment horizontal="center" vertical="center"/>
    </xf>
    <xf numFmtId="0" fontId="110" fillId="0" borderId="0" xfId="0" applyFont="1" applyAlignment="1">
      <alignment vertical="center"/>
    </xf>
    <xf numFmtId="0" fontId="111" fillId="0" borderId="0" xfId="0" applyFont="1" applyAlignment="1">
      <alignment horizontal="center" vertical="center"/>
    </xf>
    <xf numFmtId="0" fontId="112" fillId="0" borderId="0" xfId="0" applyFont="1" applyAlignment="1">
      <alignment vertical="center"/>
    </xf>
    <xf numFmtId="0" fontId="113" fillId="0" borderId="0" xfId="0" applyFont="1" applyAlignment="1">
      <alignment vertical="center"/>
    </xf>
    <xf numFmtId="174" fontId="114" fillId="33" borderId="0" xfId="327" applyNumberFormat="1" applyFont="1" applyFill="1" applyAlignment="1">
      <alignment horizontal="left" vertical="center"/>
    </xf>
    <xf numFmtId="174" fontId="115" fillId="33" borderId="0" xfId="0" applyNumberFormat="1" applyFont="1" applyFill="1" applyAlignment="1">
      <alignment vertical="center"/>
    </xf>
    <xf numFmtId="174" fontId="116" fillId="33" borderId="0" xfId="0" applyNumberFormat="1" applyFont="1" applyFill="1" applyAlignment="1">
      <alignment vertical="center"/>
    </xf>
    <xf numFmtId="0" fontId="2" fillId="0" borderId="0" xfId="0" applyFont="1" applyAlignment="1">
      <alignment vertical="center"/>
    </xf>
    <xf numFmtId="0" fontId="118" fillId="0" borderId="0" xfId="0" applyFont="1"/>
    <xf numFmtId="0" fontId="56" fillId="0" borderId="0" xfId="0" applyFont="1" applyAlignment="1">
      <alignment vertical="center" wrapText="1"/>
    </xf>
    <xf numFmtId="0" fontId="73" fillId="0" borderId="0" xfId="0" applyFont="1" applyAlignment="1">
      <alignment horizontal="left" vertical="center"/>
    </xf>
    <xf numFmtId="0" fontId="0" fillId="0" borderId="0" xfId="0" applyAlignment="1">
      <alignment horizontal="left"/>
    </xf>
    <xf numFmtId="49" fontId="119" fillId="49" borderId="0" xfId="0" applyNumberFormat="1" applyFont="1" applyFill="1" applyAlignment="1">
      <alignment vertical="center"/>
    </xf>
    <xf numFmtId="176" fontId="75" fillId="49" borderId="0" xfId="0" applyNumberFormat="1" applyFont="1" applyFill="1" applyAlignment="1">
      <alignment horizontal="center" vertical="center"/>
    </xf>
    <xf numFmtId="176" fontId="75" fillId="49" borderId="0" xfId="0" applyNumberFormat="1" applyFont="1" applyFill="1" applyAlignment="1">
      <alignment vertical="center"/>
    </xf>
    <xf numFmtId="49" fontId="75" fillId="49" borderId="0" xfId="0" applyNumberFormat="1" applyFont="1" applyFill="1" applyAlignment="1">
      <alignment vertical="center"/>
    </xf>
    <xf numFmtId="49" fontId="74" fillId="49" borderId="0" xfId="0" applyNumberFormat="1" applyFont="1" applyFill="1" applyAlignment="1">
      <alignment vertical="center"/>
    </xf>
    <xf numFmtId="49" fontId="82" fillId="49" borderId="0" xfId="0" applyNumberFormat="1" applyFont="1" applyFill="1" applyAlignment="1">
      <alignment horizontal="center" vertical="center" wrapText="1"/>
    </xf>
    <xf numFmtId="0" fontId="82" fillId="49" borderId="0" xfId="0" applyFont="1" applyFill="1" applyAlignment="1">
      <alignment horizontal="center" vertical="center" wrapText="1"/>
    </xf>
    <xf numFmtId="49" fontId="74" fillId="49" borderId="0" xfId="0" applyNumberFormat="1" applyFont="1" applyFill="1" applyAlignment="1">
      <alignment horizontal="center" vertical="center"/>
    </xf>
    <xf numFmtId="4" fontId="74" fillId="41" borderId="0" xfId="0" applyNumberFormat="1" applyFont="1" applyFill="1" applyAlignment="1">
      <alignment horizontal="center" vertical="center"/>
    </xf>
    <xf numFmtId="4" fontId="74" fillId="49" borderId="0" xfId="0" applyNumberFormat="1" applyFont="1" applyFill="1" applyAlignment="1">
      <alignment horizontal="center" vertical="center"/>
    </xf>
    <xf numFmtId="49" fontId="74" fillId="49" borderId="0" xfId="0" applyNumberFormat="1" applyFont="1" applyFill="1" applyAlignment="1">
      <alignment horizontal="center" vertical="center" wrapText="1"/>
    </xf>
    <xf numFmtId="4" fontId="75" fillId="49" borderId="0" xfId="0" applyNumberFormat="1" applyFont="1" applyFill="1" applyAlignment="1">
      <alignment vertical="center"/>
    </xf>
    <xf numFmtId="0" fontId="52" fillId="0" borderId="0" xfId="0" applyFont="1" applyAlignment="1">
      <alignment vertical="center"/>
    </xf>
    <xf numFmtId="0" fontId="82" fillId="41" borderId="0" xfId="0" applyFont="1" applyFill="1" applyAlignment="1">
      <alignment horizontal="center" vertical="center" wrapText="1"/>
    </xf>
    <xf numFmtId="49" fontId="85" fillId="49" borderId="0" xfId="0" applyNumberFormat="1" applyFont="1" applyFill="1" applyAlignment="1">
      <alignment vertical="center"/>
    </xf>
    <xf numFmtId="0" fontId="75" fillId="49" borderId="0" xfId="0" applyFont="1" applyFill="1" applyAlignment="1">
      <alignment vertical="center"/>
    </xf>
    <xf numFmtId="49" fontId="80" fillId="49" borderId="0" xfId="0" applyNumberFormat="1" applyFont="1" applyFill="1" applyAlignment="1">
      <alignment horizontal="center" vertical="center" wrapText="1"/>
    </xf>
    <xf numFmtId="169" fontId="74" fillId="0" borderId="0" xfId="2" applyNumberFormat="1" applyFont="1" applyBorder="1" applyAlignment="1">
      <alignment vertical="center"/>
    </xf>
    <xf numFmtId="0" fontId="74" fillId="33" borderId="0" xfId="0" applyFont="1" applyFill="1" applyAlignment="1">
      <alignment horizontal="center" vertical="center"/>
    </xf>
    <xf numFmtId="4" fontId="74" fillId="33" borderId="0" xfId="0" applyNumberFormat="1" applyFont="1" applyFill="1" applyAlignment="1">
      <alignment horizontal="center" vertical="center"/>
    </xf>
    <xf numFmtId="0" fontId="82" fillId="41" borderId="0" xfId="0" applyFont="1" applyFill="1" applyAlignment="1">
      <alignment vertical="center" wrapText="1"/>
    </xf>
    <xf numFmtId="0" fontId="120" fillId="0" borderId="0" xfId="0" applyFont="1" applyAlignment="1">
      <alignment horizontal="center" vertical="center"/>
    </xf>
    <xf numFmtId="0" fontId="121" fillId="42" borderId="19" xfId="0" applyFont="1" applyFill="1" applyBorder="1" applyAlignment="1">
      <alignment horizontal="left" vertical="center"/>
    </xf>
    <xf numFmtId="0" fontId="121" fillId="59" borderId="58" xfId="0" applyFont="1" applyFill="1" applyBorder="1" applyAlignment="1">
      <alignment horizontal="left" vertical="center"/>
    </xf>
    <xf numFmtId="0" fontId="0" fillId="59" borderId="17" xfId="0" applyFill="1" applyBorder="1" applyAlignment="1">
      <alignment vertical="center"/>
    </xf>
    <xf numFmtId="0" fontId="122" fillId="60" borderId="57" xfId="0" applyFont="1" applyFill="1" applyBorder="1" applyAlignment="1">
      <alignment horizontal="center" vertical="center" wrapText="1"/>
    </xf>
    <xf numFmtId="0" fontId="122" fillId="60" borderId="19" xfId="0" applyFont="1" applyFill="1" applyBorder="1" applyAlignment="1">
      <alignment horizontal="center" vertical="center" wrapText="1"/>
    </xf>
    <xf numFmtId="0" fontId="121" fillId="0" borderId="19" xfId="0" applyFont="1" applyBorder="1" applyAlignment="1">
      <alignment horizontal="center" vertical="center"/>
    </xf>
    <xf numFmtId="0" fontId="121" fillId="0" borderId="17" xfId="0" applyFont="1" applyBorder="1" applyAlignment="1">
      <alignment horizontal="left" vertical="center"/>
    </xf>
    <xf numFmtId="0" fontId="121" fillId="61" borderId="19" xfId="0" applyFont="1" applyFill="1" applyBorder="1" applyAlignment="1">
      <alignment horizontal="center" vertical="center"/>
    </xf>
    <xf numFmtId="0" fontId="0" fillId="0" borderId="19" xfId="0" applyBorder="1" applyAlignment="1">
      <alignment vertical="center"/>
    </xf>
    <xf numFmtId="0" fontId="121" fillId="63" borderId="19" xfId="0" applyFont="1" applyFill="1" applyBorder="1" applyAlignment="1">
      <alignment horizontal="center" vertical="center"/>
    </xf>
    <xf numFmtId="0" fontId="121" fillId="62" borderId="17" xfId="0" applyFont="1" applyFill="1" applyBorder="1" applyAlignment="1">
      <alignment horizontal="left" vertical="center"/>
    </xf>
    <xf numFmtId="0" fontId="0" fillId="62" borderId="19" xfId="0" applyFill="1" applyBorder="1" applyAlignment="1">
      <alignment vertical="center"/>
    </xf>
    <xf numFmtId="0" fontId="122" fillId="59" borderId="17" xfId="0" applyFont="1" applyFill="1" applyBorder="1" applyAlignment="1">
      <alignment horizontal="left" vertical="center"/>
    </xf>
    <xf numFmtId="0" fontId="122" fillId="59" borderId="19" xfId="0" applyFont="1" applyFill="1" applyBorder="1" applyAlignment="1">
      <alignment horizontal="center" vertical="center"/>
    </xf>
    <xf numFmtId="0" fontId="123" fillId="59" borderId="19" xfId="0" applyFont="1" applyFill="1" applyBorder="1" applyAlignment="1">
      <alignment horizontal="center" vertical="center"/>
    </xf>
    <xf numFmtId="0" fontId="72" fillId="0" borderId="17" xfId="0" applyFont="1" applyBorder="1" applyAlignment="1">
      <alignment horizontal="center" vertical="center"/>
    </xf>
    <xf numFmtId="3" fontId="72" fillId="0" borderId="19" xfId="0" applyNumberFormat="1" applyFont="1" applyBorder="1" applyAlignment="1">
      <alignment horizontal="center" vertical="center"/>
    </xf>
    <xf numFmtId="9" fontId="72" fillId="0" borderId="19" xfId="0" applyNumberFormat="1" applyFont="1" applyBorder="1" applyAlignment="1">
      <alignment horizontal="center" vertical="center"/>
    </xf>
    <xf numFmtId="3" fontId="58" fillId="0" borderId="19" xfId="0" applyNumberFormat="1" applyFont="1" applyBorder="1" applyAlignment="1">
      <alignment horizontal="center" vertical="center"/>
    </xf>
    <xf numFmtId="0" fontId="120" fillId="0" borderId="0" xfId="0" applyFont="1" applyAlignment="1">
      <alignment horizontal="left" vertical="center"/>
    </xf>
    <xf numFmtId="3" fontId="58" fillId="0" borderId="0" xfId="0" applyNumberFormat="1" applyFont="1" applyAlignment="1">
      <alignment horizontal="center" vertical="center"/>
    </xf>
    <xf numFmtId="3" fontId="58" fillId="42" borderId="0" xfId="0" applyNumberFormat="1" applyFont="1" applyFill="1" applyAlignment="1">
      <alignment horizontal="center" vertical="center"/>
    </xf>
    <xf numFmtId="3" fontId="60" fillId="42" borderId="0" xfId="0" applyNumberFormat="1" applyFont="1" applyFill="1" applyAlignment="1">
      <alignment horizontal="center" vertical="center"/>
    </xf>
    <xf numFmtId="10" fontId="58" fillId="42" borderId="0" xfId="0" applyNumberFormat="1" applyFont="1" applyFill="1" applyAlignment="1">
      <alignment horizontal="center" vertical="center"/>
    </xf>
    <xf numFmtId="10" fontId="58" fillId="0" borderId="0" xfId="0" applyNumberFormat="1" applyFont="1" applyAlignment="1">
      <alignment horizontal="center" vertical="center"/>
    </xf>
    <xf numFmtId="6" fontId="58" fillId="42" borderId="0" xfId="0" applyNumberFormat="1" applyFont="1" applyFill="1" applyAlignment="1">
      <alignment horizontal="center" vertical="center"/>
    </xf>
    <xf numFmtId="6" fontId="60" fillId="42" borderId="0" xfId="0" applyNumberFormat="1" applyFont="1" applyFill="1" applyAlignment="1">
      <alignment horizontal="center" vertical="center"/>
    </xf>
    <xf numFmtId="0" fontId="45" fillId="0" borderId="0" xfId="0" applyFont="1" applyAlignment="1">
      <alignment horizontal="center" vertical="center" wrapText="1"/>
    </xf>
    <xf numFmtId="0" fontId="45" fillId="0" borderId="0" xfId="0" applyFont="1"/>
    <xf numFmtId="0" fontId="124" fillId="59" borderId="19" xfId="0" applyFont="1" applyFill="1" applyBorder="1" applyAlignment="1">
      <alignment horizontal="center" vertical="center" wrapText="1"/>
    </xf>
    <xf numFmtId="0" fontId="58" fillId="0" borderId="17" xfId="0" applyFont="1" applyBorder="1" applyAlignment="1">
      <alignment horizontal="right" vertical="center"/>
    </xf>
    <xf numFmtId="9" fontId="58" fillId="0" borderId="19" xfId="0" applyNumberFormat="1" applyFont="1" applyBorder="1" applyAlignment="1">
      <alignment horizontal="right" vertical="center"/>
    </xf>
    <xf numFmtId="0" fontId="127" fillId="0" borderId="0" xfId="169" applyFont="1" applyAlignment="1" applyProtection="1"/>
    <xf numFmtId="0" fontId="128" fillId="0" borderId="0" xfId="0" applyFont="1" applyAlignment="1">
      <alignment horizontal="left" vertical="center"/>
    </xf>
    <xf numFmtId="0" fontId="129" fillId="43" borderId="1" xfId="0" applyFont="1" applyFill="1" applyBorder="1" applyAlignment="1">
      <alignment horizontal="center" vertical="center"/>
    </xf>
    <xf numFmtId="172" fontId="45" fillId="33" borderId="1" xfId="326" applyNumberFormat="1" applyFont="1" applyFill="1" applyBorder="1"/>
    <xf numFmtId="0" fontId="50" fillId="0" borderId="0" xfId="0" applyFont="1" applyAlignment="1">
      <alignment horizontal="center" vertical="center"/>
    </xf>
    <xf numFmtId="0" fontId="50" fillId="0" borderId="1" xfId="0" applyFont="1" applyBorder="1" applyAlignment="1">
      <alignment horizontal="center"/>
    </xf>
    <xf numFmtId="42" fontId="45" fillId="0" borderId="1" xfId="350" applyFont="1" applyBorder="1"/>
    <xf numFmtId="9" fontId="45" fillId="0" borderId="1" xfId="2" applyFont="1" applyBorder="1"/>
    <xf numFmtId="0" fontId="45" fillId="33" borderId="1" xfId="0" applyFont="1" applyFill="1" applyBorder="1"/>
    <xf numFmtId="42" fontId="67" fillId="33" borderId="1" xfId="350" applyFont="1" applyFill="1" applyBorder="1"/>
    <xf numFmtId="169" fontId="45" fillId="0" borderId="1" xfId="2" applyNumberFormat="1" applyFont="1" applyBorder="1"/>
    <xf numFmtId="0" fontId="45" fillId="33" borderId="0" xfId="0" applyFont="1" applyFill="1"/>
    <xf numFmtId="0" fontId="19" fillId="33" borderId="0" xfId="0" applyFont="1" applyFill="1"/>
    <xf numFmtId="168" fontId="45" fillId="33" borderId="1" xfId="1" applyNumberFormat="1" applyFont="1" applyFill="1" applyBorder="1" applyAlignment="1">
      <alignment vertical="center"/>
    </xf>
    <xf numFmtId="168" fontId="67" fillId="41" borderId="1" xfId="1" applyNumberFormat="1" applyFont="1" applyFill="1" applyBorder="1" applyAlignment="1">
      <alignment vertical="center"/>
    </xf>
    <xf numFmtId="0" fontId="132" fillId="33" borderId="0" xfId="0" applyFont="1" applyFill="1"/>
    <xf numFmtId="176" fontId="75" fillId="0" borderId="0" xfId="0" applyNumberFormat="1" applyFont="1" applyAlignment="1">
      <alignment vertical="center"/>
    </xf>
    <xf numFmtId="0" fontId="82" fillId="0" borderId="0" xfId="0" applyFont="1" applyAlignment="1">
      <alignment vertical="center" wrapText="1"/>
    </xf>
    <xf numFmtId="4" fontId="74" fillId="0" borderId="0" xfId="0" applyNumberFormat="1" applyFont="1" applyAlignment="1">
      <alignment horizontal="center" vertical="center"/>
    </xf>
    <xf numFmtId="4" fontId="75" fillId="0" borderId="0" xfId="0" applyNumberFormat="1" applyFont="1" applyAlignment="1">
      <alignment vertical="center"/>
    </xf>
    <xf numFmtId="176" fontId="74" fillId="0" borderId="0" xfId="0" applyNumberFormat="1" applyFont="1" applyAlignment="1">
      <alignment vertical="center"/>
    </xf>
    <xf numFmtId="177" fontId="74" fillId="0" borderId="0" xfId="0" applyNumberFormat="1" applyFont="1" applyAlignment="1">
      <alignment vertical="center"/>
    </xf>
    <xf numFmtId="176" fontId="74" fillId="0" borderId="31" xfId="0" applyNumberFormat="1" applyFont="1" applyBorder="1" applyAlignment="1">
      <alignment vertical="center"/>
    </xf>
    <xf numFmtId="0" fontId="56" fillId="0" borderId="0" xfId="0" applyFont="1"/>
    <xf numFmtId="0" fontId="50" fillId="0" borderId="0" xfId="358" applyFont="1"/>
    <xf numFmtId="0" fontId="50" fillId="0" borderId="1" xfId="358" applyFont="1" applyBorder="1"/>
    <xf numFmtId="169" fontId="50" fillId="0" borderId="1" xfId="358" applyNumberFormat="1" applyFont="1" applyBorder="1"/>
    <xf numFmtId="0" fontId="67" fillId="0" borderId="1" xfId="0" applyFont="1" applyBorder="1" applyAlignment="1">
      <alignment horizontal="left"/>
    </xf>
    <xf numFmtId="0" fontId="45" fillId="0" borderId="1" xfId="0" applyFont="1" applyBorder="1" applyAlignment="1">
      <alignment horizontal="left"/>
    </xf>
    <xf numFmtId="169" fontId="45" fillId="0" borderId="1" xfId="2" applyNumberFormat="1" applyFont="1" applyBorder="1" applyAlignment="1">
      <alignment horizontal="left"/>
    </xf>
    <xf numFmtId="41" fontId="45" fillId="0" borderId="1" xfId="326" applyFont="1" applyBorder="1" applyAlignment="1">
      <alignment horizontal="left"/>
    </xf>
    <xf numFmtId="169" fontId="2" fillId="0" borderId="0" xfId="2" applyNumberFormat="1" applyFont="1" applyAlignment="1">
      <alignment horizontal="left"/>
    </xf>
    <xf numFmtId="0" fontId="0" fillId="0" borderId="1" xfId="0" applyBorder="1" applyAlignment="1">
      <alignment wrapText="1"/>
    </xf>
    <xf numFmtId="41" fontId="0" fillId="0" borderId="1" xfId="326" applyFont="1" applyBorder="1" applyAlignment="1">
      <alignment wrapText="1"/>
    </xf>
    <xf numFmtId="41" fontId="0" fillId="0" borderId="1" xfId="0" applyNumberFormat="1" applyBorder="1" applyAlignment="1">
      <alignment wrapText="1"/>
    </xf>
    <xf numFmtId="169" fontId="0" fillId="0" borderId="1" xfId="2" applyNumberFormat="1" applyFont="1" applyBorder="1" applyAlignment="1">
      <alignment wrapText="1"/>
    </xf>
    <xf numFmtId="0" fontId="128" fillId="0" borderId="0" xfId="0" applyFont="1"/>
    <xf numFmtId="0" fontId="58" fillId="0" borderId="0" xfId="0" applyFont="1" applyAlignment="1">
      <alignment horizontal="right" vertical="center"/>
    </xf>
    <xf numFmtId="9" fontId="58" fillId="0" borderId="0" xfId="0" applyNumberFormat="1" applyFont="1" applyAlignment="1">
      <alignment horizontal="right" vertical="center"/>
    </xf>
    <xf numFmtId="0" fontId="58" fillId="0" borderId="12" xfId="0" applyFont="1" applyBorder="1" applyAlignment="1">
      <alignment horizontal="center" vertical="center" wrapText="1"/>
    </xf>
    <xf numFmtId="0" fontId="58" fillId="42" borderId="12" xfId="0" applyFont="1" applyFill="1" applyBorder="1" applyAlignment="1">
      <alignment horizontal="center" vertical="center" wrapText="1"/>
    </xf>
    <xf numFmtId="6" fontId="58" fillId="42" borderId="12" xfId="0" applyNumberFormat="1" applyFont="1" applyFill="1" applyBorder="1" applyAlignment="1">
      <alignment horizontal="center" vertical="center"/>
    </xf>
    <xf numFmtId="0" fontId="124" fillId="59" borderId="1" xfId="0" applyFont="1" applyFill="1" applyBorder="1" applyAlignment="1">
      <alignment horizontal="center" vertical="center" wrapText="1"/>
    </xf>
    <xf numFmtId="0" fontId="0" fillId="41" borderId="0" xfId="0" applyFill="1" applyAlignment="1">
      <alignment horizontal="right"/>
    </xf>
    <xf numFmtId="41" fontId="0" fillId="0" borderId="0" xfId="0" applyNumberFormat="1"/>
    <xf numFmtId="1" fontId="0" fillId="0" borderId="0" xfId="0" applyNumberFormat="1"/>
    <xf numFmtId="182" fontId="0" fillId="0" borderId="0" xfId="0" applyNumberFormat="1"/>
    <xf numFmtId="0" fontId="67" fillId="0" borderId="60" xfId="0" applyFont="1" applyBorder="1" applyAlignment="1">
      <alignment horizontal="left"/>
    </xf>
    <xf numFmtId="0" fontId="45" fillId="64" borderId="1" xfId="0" applyFont="1" applyFill="1" applyBorder="1" applyAlignment="1">
      <alignment horizontal="left"/>
    </xf>
    <xf numFmtId="169" fontId="45" fillId="64" borderId="1" xfId="2" applyNumberFormat="1" applyFont="1" applyFill="1" applyBorder="1" applyAlignment="1">
      <alignment horizontal="left"/>
    </xf>
    <xf numFmtId="41" fontId="45" fillId="64" borderId="1" xfId="326" applyFont="1" applyFill="1" applyBorder="1" applyAlignment="1">
      <alignment horizontal="left"/>
    </xf>
    <xf numFmtId="41" fontId="45" fillId="65" borderId="1" xfId="326" applyFont="1" applyFill="1" applyBorder="1" applyAlignment="1">
      <alignment horizontal="left"/>
    </xf>
    <xf numFmtId="169" fontId="45" fillId="65" borderId="1" xfId="2" applyNumberFormat="1" applyFont="1" applyFill="1" applyBorder="1" applyAlignment="1">
      <alignment horizontal="left"/>
    </xf>
    <xf numFmtId="0" fontId="111" fillId="0" borderId="0" xfId="0" applyFont="1" applyAlignment="1">
      <alignment horizontal="left" vertical="center"/>
    </xf>
    <xf numFmtId="0" fontId="133" fillId="0" borderId="0" xfId="126" applyFont="1" applyAlignment="1">
      <alignment horizontal="left"/>
    </xf>
    <xf numFmtId="0" fontId="2" fillId="0" borderId="1" xfId="0" applyFont="1" applyBorder="1"/>
    <xf numFmtId="4" fontId="0" fillId="0" borderId="1" xfId="0" applyNumberFormat="1" applyBorder="1"/>
    <xf numFmtId="0" fontId="16" fillId="0" borderId="0" xfId="0" applyFont="1"/>
    <xf numFmtId="42" fontId="0" fillId="0" borderId="1" xfId="350" applyFont="1" applyFill="1" applyBorder="1"/>
    <xf numFmtId="10" fontId="0" fillId="0" borderId="1" xfId="2" applyNumberFormat="1" applyFont="1" applyFill="1" applyBorder="1"/>
    <xf numFmtId="42" fontId="0" fillId="64" borderId="1" xfId="350" applyFont="1" applyFill="1" applyBorder="1"/>
    <xf numFmtId="0" fontId="69" fillId="0" borderId="0" xfId="0" applyFont="1" applyAlignment="1">
      <alignment horizontal="center"/>
    </xf>
    <xf numFmtId="0" fontId="69" fillId="0" borderId="0" xfId="0" applyFont="1" applyAlignment="1">
      <alignment horizontal="center" vertical="center"/>
    </xf>
    <xf numFmtId="0" fontId="134" fillId="0" borderId="0" xfId="126" applyFont="1" applyAlignment="1">
      <alignment horizontal="left"/>
    </xf>
    <xf numFmtId="0" fontId="25" fillId="0" borderId="0" xfId="169" applyAlignment="1" applyProtection="1">
      <alignment horizontal="left"/>
    </xf>
    <xf numFmtId="0" fontId="50" fillId="0" borderId="1" xfId="0" applyFont="1" applyBorder="1" applyAlignment="1">
      <alignment horizontal="center" vertical="center" wrapText="1"/>
    </xf>
    <xf numFmtId="0" fontId="50" fillId="0" borderId="21" xfId="0" applyFont="1" applyBorder="1" applyAlignment="1">
      <alignment horizontal="center" vertical="center" wrapText="1"/>
    </xf>
    <xf numFmtId="0" fontId="50" fillId="0" borderId="14" xfId="0" applyFont="1" applyBorder="1" applyAlignment="1">
      <alignment vertical="center"/>
    </xf>
    <xf numFmtId="0" fontId="50" fillId="0" borderId="30" xfId="0" applyFont="1" applyBorder="1" applyAlignment="1">
      <alignment vertical="center"/>
    </xf>
    <xf numFmtId="0" fontId="133" fillId="0" borderId="30" xfId="0" applyFont="1" applyBorder="1" applyAlignment="1">
      <alignment vertical="center"/>
    </xf>
    <xf numFmtId="0" fontId="50" fillId="0" borderId="13" xfId="0" applyFont="1" applyBorder="1" applyAlignment="1">
      <alignment vertical="center"/>
    </xf>
    <xf numFmtId="0" fontId="50" fillId="0" borderId="12" xfId="0" applyFont="1" applyBorder="1" applyAlignment="1">
      <alignment horizontal="center" vertical="center" wrapText="1"/>
    </xf>
    <xf numFmtId="0" fontId="50" fillId="0" borderId="0" xfId="0" applyFont="1" applyAlignment="1">
      <alignment horizontal="center" vertical="center" wrapText="1"/>
    </xf>
    <xf numFmtId="0" fontId="67" fillId="66" borderId="62" xfId="0" applyFont="1" applyFill="1" applyBorder="1" applyAlignment="1">
      <alignment horizontal="center" vertical="center" wrapText="1"/>
    </xf>
    <xf numFmtId="17" fontId="50" fillId="0" borderId="1" xfId="0" applyNumberFormat="1" applyFont="1" applyBorder="1" applyAlignment="1">
      <alignment horizontal="center" vertical="center"/>
    </xf>
    <xf numFmtId="3" fontId="50" fillId="0" borderId="1" xfId="0" applyNumberFormat="1" applyFont="1" applyBorder="1" applyAlignment="1">
      <alignment horizontal="center" vertical="center"/>
    </xf>
    <xf numFmtId="183" fontId="50" fillId="0" borderId="1" xfId="0" applyNumberFormat="1" applyFont="1" applyBorder="1" applyAlignment="1">
      <alignment horizontal="center" vertical="center"/>
    </xf>
    <xf numFmtId="3" fontId="50" fillId="0" borderId="0" xfId="0" applyNumberFormat="1" applyFont="1" applyAlignment="1">
      <alignment horizontal="center" vertical="center"/>
    </xf>
    <xf numFmtId="4" fontId="45" fillId="66" borderId="63" xfId="0" applyNumberFormat="1" applyFont="1" applyFill="1" applyBorder="1" applyAlignment="1">
      <alignment horizontal="center" wrapText="1"/>
    </xf>
    <xf numFmtId="17" fontId="50" fillId="0" borderId="1" xfId="126" applyNumberFormat="1" applyFont="1" applyBorder="1" applyAlignment="1">
      <alignment horizontal="center" vertical="center"/>
    </xf>
    <xf numFmtId="3" fontId="50" fillId="0" borderId="1" xfId="126" applyNumberFormat="1" applyFont="1" applyBorder="1" applyAlignment="1">
      <alignment horizontal="center" vertical="center"/>
    </xf>
    <xf numFmtId="183" fontId="50" fillId="0" borderId="1" xfId="126" applyNumberFormat="1" applyFont="1" applyBorder="1" applyAlignment="1">
      <alignment horizontal="center" vertical="center"/>
    </xf>
    <xf numFmtId="3" fontId="50" fillId="0" borderId="0" xfId="126" applyNumberFormat="1" applyFont="1" applyAlignment="1">
      <alignment horizontal="center" vertical="center"/>
    </xf>
    <xf numFmtId="17" fontId="50" fillId="0" borderId="1" xfId="126" quotePrefix="1" applyNumberFormat="1" applyFont="1" applyBorder="1" applyAlignment="1">
      <alignment horizontal="center" vertical="center"/>
    </xf>
    <xf numFmtId="183" fontId="69" fillId="0" borderId="0" xfId="0" applyNumberFormat="1" applyFont="1" applyAlignment="1">
      <alignment horizontal="center" vertical="center"/>
    </xf>
    <xf numFmtId="0" fontId="136" fillId="0" borderId="0" xfId="359"/>
    <xf numFmtId="0" fontId="137" fillId="67" borderId="64" xfId="359" applyFont="1" applyFill="1" applyBorder="1" applyAlignment="1">
      <alignment horizontal="center" vertical="center" wrapText="1"/>
    </xf>
    <xf numFmtId="0" fontId="137" fillId="67" borderId="64" xfId="360" applyFont="1" applyFill="1" applyBorder="1" applyAlignment="1">
      <alignment horizontal="center" vertical="center" wrapText="1"/>
    </xf>
    <xf numFmtId="17" fontId="50" fillId="0" borderId="65" xfId="0" applyNumberFormat="1" applyFont="1" applyBorder="1" applyAlignment="1">
      <alignment horizontal="center" vertical="center"/>
    </xf>
    <xf numFmtId="0" fontId="25" fillId="0" borderId="0" xfId="169" applyAlignment="1" applyProtection="1"/>
    <xf numFmtId="172" fontId="0" fillId="33" borderId="65" xfId="326" applyNumberFormat="1" applyFont="1" applyFill="1" applyBorder="1"/>
    <xf numFmtId="4" fontId="136" fillId="0" borderId="64" xfId="360" applyNumberFormat="1" applyBorder="1" applyAlignment="1">
      <alignment horizontal="right" vertical="center"/>
    </xf>
    <xf numFmtId="17" fontId="50" fillId="0" borderId="65" xfId="126" applyNumberFormat="1" applyFont="1" applyBorder="1" applyAlignment="1">
      <alignment horizontal="center" vertical="center"/>
    </xf>
    <xf numFmtId="17" fontId="50" fillId="0" borderId="65" xfId="126" quotePrefix="1" applyNumberFormat="1" applyFont="1" applyBorder="1" applyAlignment="1">
      <alignment horizontal="center" vertical="center"/>
    </xf>
    <xf numFmtId="0" fontId="136" fillId="0" borderId="0" xfId="360"/>
    <xf numFmtId="0" fontId="136" fillId="0" borderId="65" xfId="360" applyBorder="1" applyAlignment="1">
      <alignment vertical="center"/>
    </xf>
    <xf numFmtId="0" fontId="136" fillId="0" borderId="65" xfId="360" applyBorder="1"/>
    <xf numFmtId="4" fontId="0" fillId="0" borderId="64" xfId="0" applyNumberFormat="1" applyBorder="1" applyAlignment="1">
      <alignment horizontal="right" vertical="center"/>
    </xf>
    <xf numFmtId="10" fontId="139" fillId="42" borderId="1" xfId="0" applyNumberFormat="1" applyFont="1" applyFill="1" applyBorder="1" applyAlignment="1">
      <alignment horizontal="center" vertical="center" wrapText="1"/>
    </xf>
    <xf numFmtId="3" fontId="139" fillId="42" borderId="1" xfId="0" applyNumberFormat="1" applyFont="1" applyFill="1" applyBorder="1" applyAlignment="1">
      <alignment horizontal="center" vertical="center" wrapText="1"/>
    </xf>
    <xf numFmtId="3" fontId="53" fillId="33" borderId="1" xfId="1" applyNumberFormat="1" applyFont="1" applyFill="1" applyBorder="1" applyAlignment="1">
      <alignment horizontal="right" vertical="center"/>
    </xf>
    <xf numFmtId="42" fontId="65" fillId="33" borderId="1" xfId="350" applyFont="1" applyFill="1" applyBorder="1" applyAlignment="1">
      <alignment vertical="center"/>
    </xf>
    <xf numFmtId="0" fontId="2" fillId="0" borderId="0" xfId="0" applyFont="1" applyAlignment="1">
      <alignment horizontal="left" vertical="center" wrapText="1"/>
    </xf>
    <xf numFmtId="0" fontId="59" fillId="43" borderId="65" xfId="0" applyFont="1" applyFill="1" applyBorder="1" applyAlignment="1">
      <alignment horizontal="center" vertical="center" wrapText="1"/>
    </xf>
    <xf numFmtId="42" fontId="19" fillId="0" borderId="65" xfId="350" applyFont="1" applyBorder="1"/>
    <xf numFmtId="42" fontId="19" fillId="0" borderId="70" xfId="350" applyFont="1" applyBorder="1"/>
    <xf numFmtId="10" fontId="19" fillId="0" borderId="65" xfId="2" applyNumberFormat="1" applyFont="1" applyBorder="1"/>
    <xf numFmtId="0" fontId="59" fillId="69" borderId="70" xfId="0" applyFont="1" applyFill="1" applyBorder="1" applyAlignment="1">
      <alignment horizontal="center" vertical="center" wrapText="1"/>
    </xf>
    <xf numFmtId="6" fontId="58" fillId="42" borderId="65" xfId="0" applyNumberFormat="1" applyFont="1" applyFill="1" applyBorder="1" applyAlignment="1">
      <alignment horizontal="center" vertical="center"/>
    </xf>
    <xf numFmtId="169" fontId="25" fillId="0" borderId="0" xfId="169" applyNumberFormat="1" applyAlignment="1" applyProtection="1"/>
    <xf numFmtId="0" fontId="59" fillId="43" borderId="65" xfId="0" applyFont="1" applyFill="1" applyBorder="1" applyAlignment="1">
      <alignment horizontal="center" vertical="center"/>
    </xf>
    <xf numFmtId="173" fontId="0" fillId="0" borderId="0" xfId="0" applyNumberFormat="1"/>
    <xf numFmtId="184" fontId="58" fillId="42" borderId="65" xfId="0" applyNumberFormat="1" applyFont="1" applyFill="1" applyBorder="1" applyAlignment="1">
      <alignment horizontal="center" vertical="center"/>
    </xf>
    <xf numFmtId="0" fontId="138" fillId="0" borderId="65" xfId="0" applyFont="1" applyBorder="1"/>
    <xf numFmtId="173" fontId="138" fillId="0" borderId="64" xfId="0" applyNumberFormat="1" applyFont="1" applyBorder="1"/>
    <xf numFmtId="0" fontId="138" fillId="0" borderId="0" xfId="0" applyFont="1"/>
    <xf numFmtId="173" fontId="138" fillId="0" borderId="65" xfId="0" applyNumberFormat="1" applyFont="1" applyBorder="1"/>
    <xf numFmtId="4" fontId="136" fillId="0" borderId="65" xfId="359" applyNumberFormat="1" applyBorder="1"/>
    <xf numFmtId="0" fontId="137" fillId="0" borderId="0" xfId="0" applyFont="1" applyAlignment="1">
      <alignment horizontal="left" vertical="center"/>
    </xf>
    <xf numFmtId="0" fontId="59" fillId="69" borderId="1" xfId="0" applyFont="1" applyFill="1" applyBorder="1" applyAlignment="1">
      <alignment horizontal="center" vertical="center" wrapText="1"/>
    </xf>
    <xf numFmtId="41" fontId="0" fillId="0" borderId="65" xfId="326" applyFont="1" applyBorder="1"/>
    <xf numFmtId="0" fontId="2" fillId="0" borderId="0" xfId="0" applyFont="1" applyAlignment="1">
      <alignment vertical="center" wrapText="1"/>
    </xf>
    <xf numFmtId="168" fontId="2" fillId="0" borderId="0" xfId="0" applyNumberFormat="1" applyFont="1"/>
    <xf numFmtId="17" fontId="53" fillId="70" borderId="1" xfId="0" applyNumberFormat="1" applyFont="1" applyFill="1" applyBorder="1" applyAlignment="1">
      <alignment horizontal="center" vertical="center"/>
    </xf>
    <xf numFmtId="0" fontId="20" fillId="33" borderId="65" xfId="0" applyFont="1" applyFill="1" applyBorder="1"/>
    <xf numFmtId="168" fontId="20" fillId="33" borderId="65" xfId="0" applyNumberFormat="1" applyFont="1" applyFill="1" applyBorder="1"/>
    <xf numFmtId="0" fontId="50" fillId="0" borderId="65" xfId="0" applyFont="1" applyBorder="1" applyAlignment="1">
      <alignment horizontal="center" vertical="center" wrapText="1"/>
    </xf>
    <xf numFmtId="0" fontId="50" fillId="0" borderId="65" xfId="0" applyFont="1" applyBorder="1" applyAlignment="1">
      <alignment horizontal="center"/>
    </xf>
    <xf numFmtId="0" fontId="59" fillId="43" borderId="11" xfId="0" applyFont="1" applyFill="1" applyBorder="1" applyAlignment="1">
      <alignment horizontal="center" vertical="center" wrapText="1"/>
    </xf>
    <xf numFmtId="42" fontId="0" fillId="0" borderId="65" xfId="0" applyNumberFormat="1" applyBorder="1"/>
    <xf numFmtId="9" fontId="0" fillId="0" borderId="0" xfId="0" applyNumberFormat="1"/>
    <xf numFmtId="0" fontId="129" fillId="43" borderId="1" xfId="0" applyFont="1" applyFill="1" applyBorder="1" applyAlignment="1">
      <alignment horizontal="center" vertical="center" wrapText="1"/>
    </xf>
    <xf numFmtId="17" fontId="0" fillId="0" borderId="65" xfId="0" applyNumberFormat="1" applyBorder="1"/>
    <xf numFmtId="41" fontId="0" fillId="0" borderId="65" xfId="0" applyNumberFormat="1" applyBorder="1"/>
    <xf numFmtId="0" fontId="141" fillId="0" borderId="0" xfId="0" applyFont="1"/>
    <xf numFmtId="0" fontId="49" fillId="0" borderId="0" xfId="0" applyFont="1"/>
    <xf numFmtId="0" fontId="65" fillId="33" borderId="1" xfId="0" applyFont="1" applyFill="1" applyBorder="1" applyAlignment="1">
      <alignment horizontal="center" vertical="center" wrapText="1"/>
    </xf>
    <xf numFmtId="3" fontId="65" fillId="33" borderId="1" xfId="326" applyNumberFormat="1" applyFont="1" applyFill="1" applyBorder="1" applyAlignment="1">
      <alignment horizontal="center" vertical="center"/>
    </xf>
    <xf numFmtId="169" fontId="65" fillId="33" borderId="1" xfId="0" applyNumberFormat="1" applyFont="1" applyFill="1" applyBorder="1" applyAlignment="1">
      <alignment horizontal="center" vertical="center" wrapText="1"/>
    </xf>
    <xf numFmtId="0" fontId="142" fillId="33" borderId="1" xfId="0" applyFont="1" applyFill="1" applyBorder="1" applyAlignment="1">
      <alignment horizontal="center" vertical="center" wrapText="1"/>
    </xf>
    <xf numFmtId="3" fontId="142" fillId="33" borderId="1" xfId="326" applyNumberFormat="1" applyFont="1" applyFill="1" applyBorder="1" applyAlignment="1">
      <alignment horizontal="center" vertical="center" wrapText="1"/>
    </xf>
    <xf numFmtId="169" fontId="142" fillId="33" borderId="1" xfId="0" applyNumberFormat="1" applyFont="1" applyFill="1" applyBorder="1" applyAlignment="1">
      <alignment horizontal="center" vertical="center" wrapText="1"/>
    </xf>
    <xf numFmtId="3" fontId="142" fillId="33" borderId="1" xfId="326" applyNumberFormat="1" applyFont="1" applyFill="1" applyBorder="1" applyAlignment="1">
      <alignment horizontal="center" vertical="center"/>
    </xf>
    <xf numFmtId="169" fontId="19" fillId="0" borderId="65" xfId="2" applyNumberFormat="1" applyFont="1" applyBorder="1"/>
    <xf numFmtId="10" fontId="58" fillId="42" borderId="0" xfId="0" applyNumberFormat="1" applyFont="1" applyFill="1" applyAlignment="1">
      <alignment horizontal="center" vertical="center" wrapText="1"/>
    </xf>
    <xf numFmtId="0" fontId="0" fillId="0" borderId="65" xfId="0" applyBorder="1"/>
    <xf numFmtId="0" fontId="48" fillId="33" borderId="65" xfId="0" applyFont="1" applyFill="1" applyBorder="1" applyAlignment="1">
      <alignment horizontal="center" vertical="center"/>
    </xf>
    <xf numFmtId="168" fontId="45" fillId="33" borderId="65" xfId="1" applyNumberFormat="1" applyFont="1" applyFill="1" applyBorder="1" applyAlignment="1">
      <alignment vertical="center"/>
    </xf>
    <xf numFmtId="169" fontId="48" fillId="33" borderId="0" xfId="2" applyNumberFormat="1" applyFont="1" applyFill="1" applyBorder="1" applyAlignment="1">
      <alignment horizontal="center" vertical="center"/>
    </xf>
    <xf numFmtId="168" fontId="45" fillId="0" borderId="0" xfId="0" applyNumberFormat="1" applyFont="1"/>
    <xf numFmtId="0" fontId="70" fillId="43" borderId="1" xfId="0" applyFont="1" applyFill="1" applyBorder="1" applyAlignment="1">
      <alignment horizontal="center" vertical="center" wrapText="1"/>
    </xf>
    <xf numFmtId="0" fontId="58" fillId="42" borderId="71" xfId="0" applyFont="1" applyFill="1" applyBorder="1" applyAlignment="1">
      <alignment horizontal="center" vertical="center" wrapText="1"/>
    </xf>
    <xf numFmtId="17" fontId="53" fillId="0" borderId="1" xfId="0" applyNumberFormat="1" applyFont="1" applyBorder="1" applyAlignment="1">
      <alignment horizontal="center" vertical="center"/>
    </xf>
    <xf numFmtId="0" fontId="48" fillId="33" borderId="72" xfId="0" applyFont="1" applyFill="1" applyBorder="1" applyAlignment="1">
      <alignment horizontal="center" vertical="center"/>
    </xf>
    <xf numFmtId="1" fontId="48" fillId="0" borderId="72" xfId="2" applyNumberFormat="1" applyFont="1" applyBorder="1" applyAlignment="1">
      <alignment horizontal="center" vertical="center"/>
    </xf>
    <xf numFmtId="0" fontId="143" fillId="0" borderId="0" xfId="360" applyFont="1"/>
    <xf numFmtId="0" fontId="144" fillId="0" borderId="0" xfId="126" applyFont="1" applyAlignment="1">
      <alignment horizontal="left"/>
    </xf>
    <xf numFmtId="0" fontId="16" fillId="0" borderId="0" xfId="0" quotePrefix="1" applyFont="1"/>
    <xf numFmtId="169" fontId="53" fillId="0" borderId="1" xfId="0" applyNumberFormat="1" applyFont="1" applyBorder="1" applyAlignment="1">
      <alignment horizontal="center" vertical="center" wrapText="1"/>
    </xf>
    <xf numFmtId="9" fontId="45" fillId="33" borderId="1" xfId="2" applyFont="1" applyFill="1" applyBorder="1" applyAlignment="1">
      <alignment horizontal="center" vertical="center"/>
    </xf>
    <xf numFmtId="9" fontId="67" fillId="41" borderId="1" xfId="2" applyFont="1" applyFill="1" applyBorder="1" applyAlignment="1">
      <alignment horizontal="center" vertical="center"/>
    </xf>
    <xf numFmtId="0" fontId="67" fillId="0" borderId="0" xfId="0" applyFont="1" applyAlignment="1">
      <alignment horizontal="left" vertical="top" wrapText="1"/>
    </xf>
    <xf numFmtId="0" fontId="67" fillId="0" borderId="0" xfId="0" applyFont="1" applyAlignment="1">
      <alignment horizontal="left" vertical="center"/>
    </xf>
    <xf numFmtId="168" fontId="130" fillId="33" borderId="65" xfId="20" applyNumberFormat="1" applyFont="1" applyFill="1" applyBorder="1" applyAlignment="1">
      <alignment vertical="center"/>
    </xf>
    <xf numFmtId="168" fontId="130" fillId="33" borderId="65" xfId="20" applyNumberFormat="1" applyFont="1" applyFill="1" applyBorder="1" applyAlignment="1">
      <alignment horizontal="center" vertical="center"/>
    </xf>
    <xf numFmtId="168" fontId="130" fillId="33" borderId="65" xfId="20" applyNumberFormat="1" applyFont="1" applyFill="1" applyBorder="1" applyAlignment="1">
      <alignment horizontal="center" vertical="center" wrapText="1"/>
    </xf>
    <xf numFmtId="0" fontId="130" fillId="46" borderId="65" xfId="20" applyNumberFormat="1" applyFont="1" applyFill="1" applyBorder="1" applyAlignment="1">
      <alignment horizontal="center" vertical="center" wrapText="1"/>
    </xf>
    <xf numFmtId="0" fontId="48" fillId="33" borderId="65" xfId="0" applyFont="1" applyFill="1" applyBorder="1" applyAlignment="1">
      <alignment horizontal="left" vertical="center"/>
    </xf>
    <xf numFmtId="168" fontId="48" fillId="33" borderId="65" xfId="0" applyNumberFormat="1" applyFont="1" applyFill="1" applyBorder="1" applyAlignment="1">
      <alignment horizontal="center" vertical="center"/>
    </xf>
    <xf numFmtId="168" fontId="48" fillId="0" borderId="65" xfId="0" applyNumberFormat="1" applyFont="1" applyBorder="1" applyAlignment="1">
      <alignment horizontal="center" vertical="center"/>
    </xf>
    <xf numFmtId="9" fontId="48" fillId="33" borderId="65" xfId="2" applyFont="1" applyFill="1" applyBorder="1" applyAlignment="1">
      <alignment horizontal="center" vertical="center"/>
    </xf>
    <xf numFmtId="168" fontId="67" fillId="41" borderId="65" xfId="0" applyNumberFormat="1" applyFont="1" applyFill="1" applyBorder="1"/>
    <xf numFmtId="9" fontId="67" fillId="41" borderId="65" xfId="2" applyFont="1" applyFill="1" applyBorder="1" applyAlignment="1">
      <alignment horizontal="center" vertical="center"/>
    </xf>
    <xf numFmtId="168" fontId="68" fillId="46" borderId="65" xfId="0" applyNumberFormat="1" applyFont="1" applyFill="1" applyBorder="1" applyAlignment="1">
      <alignment horizontal="center" vertical="center"/>
    </xf>
    <xf numFmtId="9" fontId="68" fillId="46" borderId="65" xfId="2" applyFont="1" applyFill="1" applyBorder="1" applyAlignment="1">
      <alignment horizontal="center" vertical="center"/>
    </xf>
    <xf numFmtId="0" fontId="68" fillId="46" borderId="65" xfId="0" applyFont="1" applyFill="1" applyBorder="1" applyAlignment="1">
      <alignment horizontal="left" vertical="center"/>
    </xf>
    <xf numFmtId="0" fontId="68" fillId="46" borderId="65" xfId="0" applyFont="1" applyFill="1" applyBorder="1" applyAlignment="1">
      <alignment horizontal="center" vertical="center"/>
    </xf>
    <xf numFmtId="0" fontId="0" fillId="0" borderId="65" xfId="0" applyBorder="1" applyAlignment="1">
      <alignment horizontal="center"/>
    </xf>
    <xf numFmtId="0" fontId="70" fillId="43" borderId="71" xfId="0" applyFont="1" applyFill="1" applyBorder="1" applyAlignment="1">
      <alignment vertical="center" wrapText="1"/>
    </xf>
    <xf numFmtId="0" fontId="70" fillId="43" borderId="12" xfId="0" applyFont="1" applyFill="1" applyBorder="1" applyAlignment="1">
      <alignment horizontal="center" vertical="top" wrapText="1"/>
    </xf>
    <xf numFmtId="0" fontId="70" fillId="43" borderId="11" xfId="0" applyFont="1" applyFill="1" applyBorder="1" applyAlignment="1">
      <alignment horizontal="center" vertical="top" wrapText="1"/>
    </xf>
    <xf numFmtId="169" fontId="0" fillId="33" borderId="1" xfId="2" applyNumberFormat="1" applyFont="1" applyFill="1" applyBorder="1" applyAlignment="1">
      <alignment horizontal="center" vertical="center"/>
    </xf>
    <xf numFmtId="0" fontId="62" fillId="0" borderId="65" xfId="0" applyFont="1" applyBorder="1" applyAlignment="1">
      <alignment horizontal="center" vertical="center" wrapText="1"/>
    </xf>
    <xf numFmtId="172" fontId="0" fillId="65" borderId="65" xfId="326" applyNumberFormat="1" applyFont="1" applyFill="1" applyBorder="1"/>
    <xf numFmtId="4" fontId="136" fillId="65" borderId="64" xfId="360" applyNumberFormat="1" applyFill="1" applyBorder="1" applyAlignment="1">
      <alignment horizontal="right" vertical="center"/>
    </xf>
    <xf numFmtId="168" fontId="26" fillId="33" borderId="25" xfId="20" applyNumberFormat="1" applyFont="1" applyFill="1" applyBorder="1" applyAlignment="1">
      <alignment horizontal="center" vertical="center"/>
    </xf>
    <xf numFmtId="0" fontId="48" fillId="33" borderId="22" xfId="0" applyFont="1" applyFill="1" applyBorder="1" applyAlignment="1">
      <alignment horizontal="center" vertical="center"/>
    </xf>
    <xf numFmtId="0" fontId="49" fillId="41" borderId="0" xfId="0" applyFont="1" applyFill="1" applyAlignment="1">
      <alignment horizontal="left" vertical="center"/>
    </xf>
    <xf numFmtId="0" fontId="58" fillId="0" borderId="1" xfId="0" applyFont="1" applyBorder="1" applyAlignment="1">
      <alignment horizontal="center" vertical="center" wrapText="1"/>
    </xf>
    <xf numFmtId="0" fontId="2" fillId="0" borderId="15" xfId="0" applyFont="1" applyBorder="1" applyAlignment="1">
      <alignment horizontal="center" vertical="center" wrapText="1"/>
    </xf>
    <xf numFmtId="0" fontId="0" fillId="0" borderId="15" xfId="0" applyBorder="1" applyAlignment="1">
      <alignment horizontal="center" vertical="center" wrapText="1"/>
    </xf>
    <xf numFmtId="0" fontId="59" fillId="43" borderId="1" xfId="0" applyFont="1" applyFill="1" applyBorder="1" applyAlignment="1">
      <alignment horizontal="center" vertical="center" wrapText="1"/>
    </xf>
    <xf numFmtId="0" fontId="63" fillId="0" borderId="1" xfId="0" applyFont="1" applyBorder="1" applyAlignment="1">
      <alignment horizontal="center" vertical="center" wrapText="1"/>
    </xf>
    <xf numFmtId="0" fontId="59" fillId="43" borderId="1" xfId="0" applyFont="1" applyFill="1" applyBorder="1" applyAlignment="1">
      <alignment horizontal="center" vertical="center"/>
    </xf>
    <xf numFmtId="0" fontId="146" fillId="0" borderId="16" xfId="0" applyFont="1" applyBorder="1" applyAlignment="1">
      <alignment horizontal="left" vertical="center" wrapText="1"/>
    </xf>
    <xf numFmtId="0" fontId="3" fillId="0" borderId="16" xfId="0" applyFont="1" applyBorder="1" applyAlignment="1">
      <alignment horizontal="left" vertical="center" wrapText="1"/>
    </xf>
    <xf numFmtId="0" fontId="145" fillId="44" borderId="1" xfId="0" applyFont="1" applyFill="1" applyBorder="1" applyAlignment="1">
      <alignment horizontal="center" vertical="center" wrapText="1"/>
    </xf>
    <xf numFmtId="0" fontId="2" fillId="0" borderId="15" xfId="0" applyFont="1" applyBorder="1" applyAlignment="1">
      <alignment horizontal="center"/>
    </xf>
    <xf numFmtId="0" fontId="61" fillId="43" borderId="1" xfId="0" applyFont="1" applyFill="1" applyBorder="1" applyAlignment="1">
      <alignment horizontal="center" vertical="center" wrapText="1"/>
    </xf>
    <xf numFmtId="0" fontId="57" fillId="0" borderId="16" xfId="0" applyFont="1" applyBorder="1" applyAlignment="1">
      <alignment horizontal="left" vertical="top" wrapText="1"/>
    </xf>
    <xf numFmtId="0" fontId="57" fillId="0" borderId="16" xfId="0" applyFont="1" applyBorder="1" applyAlignment="1">
      <alignment horizontal="left" vertical="center" wrapText="1"/>
    </xf>
    <xf numFmtId="0" fontId="19" fillId="0" borderId="16" xfId="0" applyFont="1" applyBorder="1" applyAlignment="1">
      <alignment horizontal="left" vertical="center" wrapText="1"/>
    </xf>
    <xf numFmtId="0" fontId="57" fillId="0" borderId="16" xfId="0" applyFont="1" applyBorder="1" applyAlignment="1">
      <alignment horizontal="center" vertical="center" wrapText="1"/>
    </xf>
    <xf numFmtId="0" fontId="2" fillId="0" borderId="0" xfId="0" applyFont="1" applyAlignment="1">
      <alignment horizontal="left" vertical="center" wrapText="1"/>
    </xf>
    <xf numFmtId="0" fontId="140" fillId="68" borderId="65" xfId="0" applyFont="1" applyFill="1" applyBorder="1" applyAlignment="1">
      <alignment horizontal="center" vertical="center" wrapText="1"/>
    </xf>
    <xf numFmtId="0" fontId="57" fillId="0" borderId="69" xfId="0" applyFont="1" applyBorder="1" applyAlignment="1">
      <alignment horizontal="left" vertical="center" wrapText="1"/>
    </xf>
    <xf numFmtId="0" fontId="2" fillId="0" borderId="15" xfId="0" applyFont="1" applyBorder="1" applyAlignment="1">
      <alignment horizontal="center" vertical="center"/>
    </xf>
    <xf numFmtId="0" fontId="56" fillId="0" borderId="15" xfId="0" applyFont="1" applyBorder="1" applyAlignment="1">
      <alignment horizontal="center" vertical="center"/>
    </xf>
    <xf numFmtId="0" fontId="128" fillId="0" borderId="16" xfId="0" applyFont="1" applyBorder="1" applyAlignment="1">
      <alignment horizontal="justify" vertical="center" wrapText="1"/>
    </xf>
    <xf numFmtId="0" fontId="19" fillId="0" borderId="16" xfId="0" applyFont="1" applyBorder="1" applyAlignment="1">
      <alignment wrapText="1"/>
    </xf>
    <xf numFmtId="41" fontId="2" fillId="0" borderId="15" xfId="326" applyFont="1" applyBorder="1" applyAlignment="1">
      <alignment horizontal="center" vertical="center"/>
    </xf>
    <xf numFmtId="41" fontId="128" fillId="0" borderId="16" xfId="326" applyFont="1" applyBorder="1" applyAlignment="1">
      <alignment horizontal="left" vertical="center" wrapText="1"/>
    </xf>
    <xf numFmtId="41" fontId="2" fillId="0" borderId="15" xfId="326" applyFont="1" applyBorder="1" applyAlignment="1">
      <alignment horizontal="center" vertical="center" wrapText="1"/>
    </xf>
    <xf numFmtId="0" fontId="57" fillId="0" borderId="69" xfId="326" applyNumberFormat="1" applyFont="1" applyBorder="1" applyAlignment="1">
      <alignment horizontal="left" vertical="center" wrapText="1"/>
    </xf>
    <xf numFmtId="0" fontId="2" fillId="0" borderId="0" xfId="0" applyFont="1" applyAlignment="1">
      <alignment horizontal="center" vertical="center" wrapText="1"/>
    </xf>
    <xf numFmtId="0" fontId="2" fillId="0" borderId="15" xfId="0" applyFont="1" applyBorder="1" applyAlignment="1">
      <alignment wrapText="1"/>
    </xf>
    <xf numFmtId="0" fontId="2" fillId="0" borderId="0" xfId="0" applyFont="1" applyAlignment="1">
      <alignment wrapText="1"/>
    </xf>
    <xf numFmtId="0" fontId="15" fillId="43" borderId="65" xfId="0" applyFont="1" applyFill="1" applyBorder="1" applyAlignment="1">
      <alignment horizontal="center"/>
    </xf>
    <xf numFmtId="0" fontId="15" fillId="43" borderId="72" xfId="0" applyFont="1" applyFill="1" applyBorder="1" applyAlignment="1">
      <alignment horizontal="center"/>
    </xf>
    <xf numFmtId="0" fontId="15" fillId="43" borderId="1" xfId="0" applyFont="1" applyFill="1" applyBorder="1" applyAlignment="1">
      <alignment horizontal="center"/>
    </xf>
    <xf numFmtId="0" fontId="67" fillId="47" borderId="0" xfId="0" applyFont="1" applyFill="1" applyAlignment="1">
      <alignment horizontal="left" vertical="center"/>
    </xf>
    <xf numFmtId="0" fontId="57" fillId="0" borderId="54" xfId="0" applyFont="1" applyBorder="1" applyAlignment="1">
      <alignment horizontal="left" vertical="top" wrapText="1"/>
    </xf>
    <xf numFmtId="0" fontId="19" fillId="0" borderId="54" xfId="0" applyFont="1" applyBorder="1" applyAlignment="1">
      <alignment horizontal="left" vertical="top" wrapText="1"/>
    </xf>
    <xf numFmtId="0" fontId="108" fillId="59" borderId="23" xfId="0" applyFont="1" applyFill="1" applyBorder="1" applyAlignment="1">
      <alignment horizontal="center" vertical="center"/>
    </xf>
    <xf numFmtId="0" fontId="108" fillId="59" borderId="50" xfId="0" applyFont="1" applyFill="1" applyBorder="1" applyAlignment="1">
      <alignment horizontal="center" vertical="center"/>
    </xf>
    <xf numFmtId="0" fontId="108" fillId="59" borderId="51" xfId="0" applyFont="1" applyFill="1" applyBorder="1" applyAlignment="1">
      <alignment horizontal="center" vertical="center"/>
    </xf>
    <xf numFmtId="0" fontId="108" fillId="59" borderId="20" xfId="0" applyFont="1" applyFill="1" applyBorder="1" applyAlignment="1">
      <alignment horizontal="center" vertical="center" wrapText="1"/>
    </xf>
    <xf numFmtId="0" fontId="108" fillId="59" borderId="52" xfId="0" applyFont="1" applyFill="1" applyBorder="1" applyAlignment="1">
      <alignment horizontal="center" vertical="center" wrapText="1"/>
    </xf>
    <xf numFmtId="0" fontId="108" fillId="60" borderId="23" xfId="0" applyFont="1" applyFill="1" applyBorder="1" applyAlignment="1">
      <alignment horizontal="center" vertical="center" wrapText="1"/>
    </xf>
    <xf numFmtId="0" fontId="108" fillId="60" borderId="51" xfId="0" applyFont="1" applyFill="1" applyBorder="1" applyAlignment="1">
      <alignment horizontal="center" vertical="center" wrapText="1"/>
    </xf>
    <xf numFmtId="0" fontId="108" fillId="60" borderId="55" xfId="0" applyFont="1" applyFill="1" applyBorder="1" applyAlignment="1">
      <alignment horizontal="center" vertical="center" wrapText="1"/>
    </xf>
    <xf numFmtId="0" fontId="57" fillId="0" borderId="54" xfId="0" applyFont="1" applyBorder="1" applyAlignment="1">
      <alignment horizontal="left" vertical="center" wrapText="1"/>
    </xf>
    <xf numFmtId="0" fontId="19" fillId="0" borderId="54" xfId="0" applyFont="1" applyBorder="1" applyAlignment="1">
      <alignment horizontal="left" vertical="center" wrapText="1"/>
    </xf>
    <xf numFmtId="0" fontId="19" fillId="0" borderId="54" xfId="0" applyFont="1" applyBorder="1" applyAlignment="1">
      <alignment horizontal="left" wrapText="1"/>
    </xf>
    <xf numFmtId="0" fontId="122" fillId="59" borderId="23" xfId="0" applyFont="1" applyFill="1" applyBorder="1" applyAlignment="1">
      <alignment horizontal="center" vertical="center"/>
    </xf>
    <xf numFmtId="0" fontId="122" fillId="59" borderId="50" xfId="0" applyFont="1" applyFill="1" applyBorder="1" applyAlignment="1">
      <alignment horizontal="center" vertical="center"/>
    </xf>
    <xf numFmtId="0" fontId="122" fillId="59" borderId="18" xfId="0" applyFont="1" applyFill="1" applyBorder="1" applyAlignment="1">
      <alignment horizontal="center" vertical="center"/>
    </xf>
    <xf numFmtId="0" fontId="122" fillId="59" borderId="25" xfId="0" applyFont="1" applyFill="1" applyBorder="1" applyAlignment="1">
      <alignment horizontal="center" vertical="center"/>
    </xf>
    <xf numFmtId="0" fontId="122" fillId="59" borderId="56" xfId="0" applyFont="1" applyFill="1" applyBorder="1" applyAlignment="1">
      <alignment horizontal="center" vertical="center"/>
    </xf>
    <xf numFmtId="0" fontId="122" fillId="59" borderId="59" xfId="0" applyFont="1" applyFill="1" applyBorder="1" applyAlignment="1">
      <alignment horizontal="center" vertical="center"/>
    </xf>
    <xf numFmtId="0" fontId="122" fillId="59" borderId="57" xfId="0" applyFont="1" applyFill="1" applyBorder="1" applyAlignment="1">
      <alignment horizontal="center" vertical="center"/>
    </xf>
    <xf numFmtId="0" fontId="122" fillId="59" borderId="27" xfId="0" applyFont="1" applyFill="1" applyBorder="1" applyAlignment="1">
      <alignment horizontal="center" vertical="center"/>
    </xf>
    <xf numFmtId="0" fontId="122" fillId="59" borderId="19" xfId="0" applyFont="1" applyFill="1" applyBorder="1" applyAlignment="1">
      <alignment horizontal="center" vertical="center"/>
    </xf>
    <xf numFmtId="0" fontId="122" fillId="60" borderId="23" xfId="0" applyFont="1" applyFill="1" applyBorder="1" applyAlignment="1">
      <alignment horizontal="center" vertical="center"/>
    </xf>
    <xf numFmtId="0" fontId="122" fillId="60" borderId="50" xfId="0" applyFont="1" applyFill="1" applyBorder="1" applyAlignment="1">
      <alignment horizontal="center" vertical="center"/>
    </xf>
    <xf numFmtId="0" fontId="122" fillId="60" borderId="18" xfId="0" applyFont="1" applyFill="1" applyBorder="1" applyAlignment="1">
      <alignment horizontal="center" vertical="center"/>
    </xf>
    <xf numFmtId="0" fontId="123" fillId="59" borderId="20" xfId="0" applyFont="1" applyFill="1" applyBorder="1" applyAlignment="1">
      <alignment horizontal="center" vertical="center" wrapText="1"/>
    </xf>
    <xf numFmtId="0" fontId="123" fillId="59" borderId="52" xfId="0" applyFont="1" applyFill="1" applyBorder="1" applyAlignment="1">
      <alignment horizontal="center" vertical="center" wrapText="1"/>
    </xf>
    <xf numFmtId="0" fontId="123" fillId="59" borderId="20" xfId="0" applyFont="1" applyFill="1" applyBorder="1" applyAlignment="1">
      <alignment horizontal="center" vertical="center"/>
    </xf>
    <xf numFmtId="0" fontId="123" fillId="59" borderId="52" xfId="0" applyFont="1" applyFill="1" applyBorder="1" applyAlignment="1">
      <alignment horizontal="center" vertical="center"/>
    </xf>
    <xf numFmtId="0" fontId="123" fillId="59" borderId="23" xfId="0" applyFont="1" applyFill="1" applyBorder="1" applyAlignment="1">
      <alignment horizontal="center" vertical="center"/>
    </xf>
    <xf numFmtId="0" fontId="123" fillId="59" borderId="51" xfId="0" applyFont="1" applyFill="1" applyBorder="1" applyAlignment="1">
      <alignment horizontal="center" vertical="center"/>
    </xf>
    <xf numFmtId="0" fontId="123" fillId="59" borderId="55" xfId="0" applyFont="1" applyFill="1" applyBorder="1" applyAlignment="1">
      <alignment horizontal="center" vertical="center"/>
    </xf>
    <xf numFmtId="0" fontId="57" fillId="0" borderId="54" xfId="0" applyFont="1" applyBorder="1" applyAlignment="1">
      <alignment vertical="center" wrapText="1"/>
    </xf>
    <xf numFmtId="0" fontId="57" fillId="0" borderId="0" xfId="0" applyFont="1" applyAlignment="1">
      <alignment vertical="top" wrapText="1"/>
    </xf>
    <xf numFmtId="0" fontId="19" fillId="0" borderId="0" xfId="0" applyFont="1" applyAlignment="1">
      <alignment vertical="top" wrapText="1"/>
    </xf>
    <xf numFmtId="0" fontId="59" fillId="59" borderId="20" xfId="0" applyFont="1" applyFill="1" applyBorder="1" applyAlignment="1">
      <alignment horizontal="center" vertical="center" wrapText="1"/>
    </xf>
    <xf numFmtId="0" fontId="59" fillId="59" borderId="17" xfId="0" applyFont="1" applyFill="1" applyBorder="1" applyAlignment="1">
      <alignment horizontal="center" vertical="center" wrapText="1"/>
    </xf>
    <xf numFmtId="0" fontId="59" fillId="59" borderId="23" xfId="0" applyFont="1" applyFill="1" applyBorder="1" applyAlignment="1">
      <alignment horizontal="center" vertical="center"/>
    </xf>
    <xf numFmtId="0" fontId="59" fillId="59" borderId="50" xfId="0" applyFont="1" applyFill="1" applyBorder="1" applyAlignment="1">
      <alignment horizontal="center" vertical="center"/>
    </xf>
    <xf numFmtId="0" fontId="59" fillId="59" borderId="18" xfId="0" applyFont="1" applyFill="1" applyBorder="1" applyAlignment="1">
      <alignment horizontal="center" vertical="center"/>
    </xf>
    <xf numFmtId="0" fontId="2" fillId="0" borderId="15" xfId="0" applyFont="1" applyBorder="1" applyAlignment="1">
      <alignment vertical="center"/>
    </xf>
    <xf numFmtId="0" fontId="71" fillId="0" borderId="16" xfId="0" applyFont="1" applyBorder="1" applyAlignment="1">
      <alignment horizontal="left" vertical="center" wrapText="1"/>
    </xf>
    <xf numFmtId="0" fontId="60" fillId="44" borderId="1" xfId="0" applyFont="1" applyFill="1" applyBorder="1" applyAlignment="1">
      <alignment horizontal="center" vertical="center" wrapText="1"/>
    </xf>
    <xf numFmtId="0" fontId="58" fillId="42" borderId="71" xfId="0" applyFont="1" applyFill="1" applyBorder="1" applyAlignment="1">
      <alignment horizontal="center" vertical="center" wrapText="1"/>
    </xf>
    <xf numFmtId="0" fontId="58" fillId="42" borderId="12" xfId="0" applyFont="1" applyFill="1" applyBorder="1" applyAlignment="1">
      <alignment horizontal="center" vertical="center" wrapText="1"/>
    </xf>
    <xf numFmtId="0" fontId="58" fillId="42" borderId="65" xfId="0" applyFont="1" applyFill="1" applyBorder="1" applyAlignment="1">
      <alignment horizontal="center" vertical="center" wrapText="1"/>
    </xf>
    <xf numFmtId="0" fontId="2" fillId="0" borderId="0" xfId="0" applyFont="1" applyAlignment="1">
      <alignment horizontal="center" vertical="center"/>
    </xf>
    <xf numFmtId="0" fontId="0" fillId="0" borderId="0" xfId="0"/>
    <xf numFmtId="0" fontId="57" fillId="0" borderId="0" xfId="0" applyFont="1" applyAlignment="1">
      <alignment horizontal="center" vertical="center"/>
    </xf>
    <xf numFmtId="0" fontId="111" fillId="0" borderId="0" xfId="0" applyFont="1" applyAlignment="1">
      <alignment horizontal="center" vertical="center"/>
    </xf>
    <xf numFmtId="0" fontId="120" fillId="0" borderId="0" xfId="0" applyFont="1" applyAlignment="1">
      <alignment horizontal="center" vertical="center"/>
    </xf>
    <xf numFmtId="168" fontId="26" fillId="33" borderId="1" xfId="1" applyNumberFormat="1" applyFont="1" applyFill="1" applyBorder="1" applyAlignment="1">
      <alignment horizontal="center" vertical="center" wrapText="1"/>
    </xf>
    <xf numFmtId="0" fontId="2" fillId="0" borderId="0" xfId="0" applyFont="1" applyAlignment="1">
      <alignment horizontal="left" vertical="center"/>
    </xf>
    <xf numFmtId="0" fontId="0" fillId="0" borderId="0" xfId="0" applyAlignment="1">
      <alignment horizontal="left"/>
    </xf>
    <xf numFmtId="168" fontId="26" fillId="33" borderId="14" xfId="1" applyNumberFormat="1" applyFont="1" applyFill="1" applyBorder="1" applyAlignment="1">
      <alignment horizontal="center" vertical="center" wrapText="1"/>
    </xf>
    <xf numFmtId="168" fontId="26" fillId="33" borderId="13" xfId="1" applyNumberFormat="1" applyFont="1" applyFill="1" applyBorder="1" applyAlignment="1">
      <alignment horizontal="center" vertical="center" wrapText="1"/>
    </xf>
    <xf numFmtId="168" fontId="26" fillId="33" borderId="14" xfId="1" applyNumberFormat="1" applyFont="1" applyFill="1" applyBorder="1" applyAlignment="1">
      <alignment horizontal="center"/>
    </xf>
    <xf numFmtId="168" fontId="26" fillId="33" borderId="13" xfId="1" applyNumberFormat="1" applyFont="1" applyFill="1" applyBorder="1" applyAlignment="1">
      <alignment horizontal="center"/>
    </xf>
    <xf numFmtId="0" fontId="71" fillId="0" borderId="0" xfId="0" applyFont="1" applyAlignment="1">
      <alignment horizontal="center" vertical="center" wrapText="1"/>
    </xf>
    <xf numFmtId="0" fontId="2" fillId="0" borderId="1" xfId="0" applyFont="1" applyBorder="1" applyAlignment="1">
      <alignment horizontal="center"/>
    </xf>
    <xf numFmtId="0" fontId="57" fillId="0" borderId="0" xfId="0" applyFont="1" applyAlignment="1">
      <alignment horizontal="center" vertical="center" wrapText="1"/>
    </xf>
    <xf numFmtId="0" fontId="0" fillId="0" borderId="0" xfId="0" applyAlignment="1">
      <alignment horizontal="center" vertical="center"/>
    </xf>
    <xf numFmtId="0" fontId="128" fillId="0" borderId="0" xfId="0" applyFont="1" applyAlignment="1">
      <alignment horizontal="left" vertical="center" wrapText="1"/>
    </xf>
    <xf numFmtId="0" fontId="19" fillId="33" borderId="0" xfId="0" applyFont="1" applyFill="1" applyAlignment="1">
      <alignment horizontal="left" vertical="top" wrapText="1"/>
    </xf>
    <xf numFmtId="0" fontId="68" fillId="41" borderId="65" xfId="0" applyFont="1" applyFill="1" applyBorder="1" applyAlignment="1">
      <alignment horizontal="center" vertical="center" wrapText="1"/>
    </xf>
    <xf numFmtId="0" fontId="137" fillId="67" borderId="64" xfId="0" applyFont="1" applyFill="1" applyBorder="1" applyAlignment="1">
      <alignment horizontal="left" vertical="center"/>
    </xf>
    <xf numFmtId="0" fontId="137" fillId="67" borderId="66" xfId="360" applyFont="1" applyFill="1" applyBorder="1" applyAlignment="1">
      <alignment horizontal="center" vertical="center"/>
    </xf>
    <xf numFmtId="0" fontId="137" fillId="67" borderId="67" xfId="360" applyFont="1" applyFill="1" applyBorder="1" applyAlignment="1">
      <alignment horizontal="center" vertical="center"/>
    </xf>
    <xf numFmtId="0" fontId="137" fillId="67" borderId="68" xfId="360" applyFont="1" applyFill="1" applyBorder="1" applyAlignment="1">
      <alignment horizontal="center" vertical="center"/>
    </xf>
    <xf numFmtId="0" fontId="50" fillId="0" borderId="1" xfId="0" applyFont="1" applyBorder="1" applyAlignment="1">
      <alignment horizontal="center" vertical="center" wrapText="1"/>
    </xf>
    <xf numFmtId="0" fontId="50" fillId="0" borderId="21" xfId="0" applyFont="1" applyBorder="1" applyAlignment="1">
      <alignment horizontal="center" vertical="center" wrapText="1"/>
    </xf>
    <xf numFmtId="0" fontId="50" fillId="0" borderId="12" xfId="0" applyFont="1" applyBorder="1" applyAlignment="1">
      <alignment horizontal="center" vertical="center" wrapText="1"/>
    </xf>
    <xf numFmtId="0" fontId="133" fillId="0" borderId="16" xfId="0" applyFont="1" applyBorder="1" applyAlignment="1">
      <alignment horizontal="center" vertical="center"/>
    </xf>
    <xf numFmtId="0" fontId="133" fillId="0" borderId="61" xfId="0" applyFont="1" applyBorder="1" applyAlignment="1">
      <alignment horizontal="center" vertical="center"/>
    </xf>
    <xf numFmtId="0" fontId="133" fillId="0" borderId="30" xfId="0" applyFont="1" applyBorder="1" applyAlignment="1">
      <alignment horizontal="center" vertical="center"/>
    </xf>
    <xf numFmtId="0" fontId="133" fillId="0" borderId="13" xfId="0" applyFont="1" applyBorder="1" applyAlignment="1">
      <alignment horizontal="center" vertical="center"/>
    </xf>
    <xf numFmtId="0" fontId="57" fillId="0" borderId="16" xfId="326" applyNumberFormat="1" applyFont="1" applyBorder="1" applyAlignment="1">
      <alignment horizontal="left" vertical="center" wrapText="1"/>
    </xf>
    <xf numFmtId="176" fontId="75" fillId="49" borderId="0" xfId="0" applyNumberFormat="1" applyFont="1" applyFill="1" applyAlignment="1">
      <alignment horizontal="center" vertical="center"/>
    </xf>
    <xf numFmtId="49" fontId="82" fillId="41" borderId="0" xfId="0" applyNumberFormat="1" applyFont="1" applyFill="1" applyAlignment="1">
      <alignment horizontal="center" vertical="center" wrapText="1"/>
    </xf>
    <xf numFmtId="49" fontId="82" fillId="49" borderId="0" xfId="0" applyNumberFormat="1" applyFont="1" applyFill="1" applyAlignment="1">
      <alignment horizontal="center" vertical="center" wrapText="1"/>
    </xf>
    <xf numFmtId="0" fontId="82" fillId="33" borderId="30" xfId="0" applyFont="1" applyFill="1" applyBorder="1" applyAlignment="1">
      <alignment horizontal="center" vertical="center" wrapText="1"/>
    </xf>
    <xf numFmtId="0" fontId="82" fillId="41" borderId="30" xfId="0" applyFont="1" applyFill="1" applyBorder="1" applyAlignment="1">
      <alignment horizontal="center" vertical="center" wrapText="1"/>
    </xf>
    <xf numFmtId="174" fontId="82" fillId="48" borderId="30" xfId="0" applyNumberFormat="1" applyFont="1" applyFill="1" applyBorder="1" applyAlignment="1">
      <alignment horizontal="center" vertical="center" wrapText="1"/>
    </xf>
    <xf numFmtId="174" fontId="82" fillId="52" borderId="30" xfId="0" applyNumberFormat="1" applyFont="1" applyFill="1" applyBorder="1" applyAlignment="1">
      <alignment horizontal="center" vertical="center" wrapText="1"/>
    </xf>
    <xf numFmtId="0" fontId="92" fillId="58" borderId="39" xfId="0" applyFont="1" applyFill="1" applyBorder="1" applyAlignment="1">
      <alignment horizontal="right" vertical="top" wrapText="1"/>
    </xf>
    <xf numFmtId="0" fontId="92" fillId="58" borderId="38" xfId="0" applyFont="1" applyFill="1" applyBorder="1" applyAlignment="1">
      <alignment horizontal="right" vertical="top" wrapText="1"/>
    </xf>
    <xf numFmtId="0" fontId="91" fillId="58" borderId="40" xfId="0" applyFont="1" applyFill="1" applyBorder="1" applyAlignment="1">
      <alignment vertical="top" wrapText="1"/>
    </xf>
    <xf numFmtId="0" fontId="91" fillId="58" borderId="38" xfId="0" applyFont="1" applyFill="1" applyBorder="1" applyAlignment="1">
      <alignment vertical="top" wrapText="1"/>
    </xf>
    <xf numFmtId="0" fontId="92" fillId="57" borderId="39" xfId="0" applyFont="1" applyFill="1" applyBorder="1" applyAlignment="1">
      <alignment horizontal="right" vertical="center" wrapText="1"/>
    </xf>
    <xf numFmtId="0" fontId="92" fillId="57" borderId="38" xfId="0" applyFont="1" applyFill="1" applyBorder="1" applyAlignment="1">
      <alignment horizontal="right" vertical="center" wrapText="1"/>
    </xf>
    <xf numFmtId="0" fontId="91" fillId="57" borderId="39" xfId="0" applyFont="1" applyFill="1" applyBorder="1" applyAlignment="1">
      <alignment horizontal="center" vertical="top" wrapText="1"/>
    </xf>
    <xf numFmtId="0" fontId="91" fillId="57" borderId="38" xfId="0" applyFont="1" applyFill="1" applyBorder="1" applyAlignment="1">
      <alignment horizontal="center" vertical="top" wrapText="1"/>
    </xf>
    <xf numFmtId="0" fontId="117" fillId="0" borderId="0" xfId="0" applyFont="1" applyAlignment="1">
      <alignment horizontal="center" vertical="center" wrapText="1"/>
    </xf>
    <xf numFmtId="0" fontId="56" fillId="0" borderId="0" xfId="0" applyFont="1" applyAlignment="1">
      <alignment wrapText="1"/>
    </xf>
    <xf numFmtId="0" fontId="81" fillId="33" borderId="30" xfId="0" applyFont="1" applyFill="1" applyBorder="1" applyAlignment="1">
      <alignment horizontal="center" vertical="center" wrapText="1"/>
    </xf>
  </cellXfs>
  <cellStyles count="361">
    <cellStyle name="20% - Énfasis1" xfId="21" builtinId="30" customBuiltin="1"/>
    <cellStyle name="20% - Énfasis1 2" xfId="141" xr:uid="{00000000-0005-0000-0000-000001000000}"/>
    <cellStyle name="20% - Énfasis1 2 2" xfId="170" xr:uid="{00000000-0005-0000-0000-000002000000}"/>
    <cellStyle name="20% - Énfasis1 3" xfId="231" xr:uid="{00000000-0005-0000-0000-000003000000}"/>
    <cellStyle name="20% - Énfasis2" xfId="25" builtinId="34" customBuiltin="1"/>
    <cellStyle name="20% - Énfasis2 2" xfId="142" xr:uid="{00000000-0005-0000-0000-000005000000}"/>
    <cellStyle name="20% - Énfasis2 2 2" xfId="210" xr:uid="{00000000-0005-0000-0000-000006000000}"/>
    <cellStyle name="20% - Énfasis2 3" xfId="217" xr:uid="{00000000-0005-0000-0000-000007000000}"/>
    <cellStyle name="20% - Énfasis3" xfId="29" builtinId="38" customBuiltin="1"/>
    <cellStyle name="20% - Énfasis3 2" xfId="143" xr:uid="{00000000-0005-0000-0000-000009000000}"/>
    <cellStyle name="20% - Énfasis3 2 2" xfId="230" xr:uid="{00000000-0005-0000-0000-00000A000000}"/>
    <cellStyle name="20% - Énfasis3 3" xfId="229" xr:uid="{00000000-0005-0000-0000-00000B000000}"/>
    <cellStyle name="20% - Énfasis4" xfId="33" builtinId="42" customBuiltin="1"/>
    <cellStyle name="20% - Énfasis4 2" xfId="144" xr:uid="{00000000-0005-0000-0000-00000D000000}"/>
    <cellStyle name="20% - Énfasis4 2 2" xfId="171" xr:uid="{00000000-0005-0000-0000-00000E000000}"/>
    <cellStyle name="20% - Énfasis4 3" xfId="172" xr:uid="{00000000-0005-0000-0000-00000F000000}"/>
    <cellStyle name="20% - Énfasis5" xfId="37" builtinId="46" customBuiltin="1"/>
    <cellStyle name="20% - Énfasis5 2" xfId="173" xr:uid="{00000000-0005-0000-0000-000011000000}"/>
    <cellStyle name="20% - Énfasis5 3" xfId="174" xr:uid="{00000000-0005-0000-0000-000012000000}"/>
    <cellStyle name="20% - Énfasis6" xfId="41" builtinId="50" customBuiltin="1"/>
    <cellStyle name="20% - Énfasis6 2" xfId="175" xr:uid="{00000000-0005-0000-0000-000014000000}"/>
    <cellStyle name="20% - Énfasis6 3" xfId="176" xr:uid="{00000000-0005-0000-0000-000015000000}"/>
    <cellStyle name="40% - Énfasis1" xfId="22" builtinId="31" customBuiltin="1"/>
    <cellStyle name="40% - Énfasis1 2" xfId="177" xr:uid="{00000000-0005-0000-0000-000017000000}"/>
    <cellStyle name="40% - Énfasis1 3" xfId="178" xr:uid="{00000000-0005-0000-0000-000018000000}"/>
    <cellStyle name="40% - Énfasis2" xfId="26" builtinId="35" customBuiltin="1"/>
    <cellStyle name="40% - Énfasis2 2" xfId="179" xr:uid="{00000000-0005-0000-0000-00001A000000}"/>
    <cellStyle name="40% - Énfasis2 3" xfId="220" xr:uid="{00000000-0005-0000-0000-00001B000000}"/>
    <cellStyle name="40% - Énfasis3" xfId="30" builtinId="39" customBuiltin="1"/>
    <cellStyle name="40% - Énfasis3 2" xfId="145" xr:uid="{00000000-0005-0000-0000-00001D000000}"/>
    <cellStyle name="40% - Énfasis3 2 2" xfId="180" xr:uid="{00000000-0005-0000-0000-00001E000000}"/>
    <cellStyle name="40% - Énfasis3 3" xfId="181" xr:uid="{00000000-0005-0000-0000-00001F000000}"/>
    <cellStyle name="40% - Énfasis4" xfId="34" builtinId="43" customBuiltin="1"/>
    <cellStyle name="40% - Énfasis4 2" xfId="182" xr:uid="{00000000-0005-0000-0000-000021000000}"/>
    <cellStyle name="40% - Énfasis4 3" xfId="183" xr:uid="{00000000-0005-0000-0000-000022000000}"/>
    <cellStyle name="40% - Énfasis5" xfId="38" builtinId="47" customBuiltin="1"/>
    <cellStyle name="40% - Énfasis5 2" xfId="184" xr:uid="{00000000-0005-0000-0000-000024000000}"/>
    <cellStyle name="40% - Énfasis5 3" xfId="185" xr:uid="{00000000-0005-0000-0000-000025000000}"/>
    <cellStyle name="40% - Énfasis6" xfId="42" builtinId="51" customBuiltin="1"/>
    <cellStyle name="40% - Énfasis6 2" xfId="186" xr:uid="{00000000-0005-0000-0000-000027000000}"/>
    <cellStyle name="40% - Énfasis6 3" xfId="187" xr:uid="{00000000-0005-0000-0000-000028000000}"/>
    <cellStyle name="60% - Énfasis1" xfId="23" builtinId="32" customBuiltin="1"/>
    <cellStyle name="60% - Énfasis1 2" xfId="188" xr:uid="{00000000-0005-0000-0000-00002A000000}"/>
    <cellStyle name="60% - Énfasis1 3" xfId="189" xr:uid="{00000000-0005-0000-0000-00002B000000}"/>
    <cellStyle name="60% - Énfasis2" xfId="27" builtinId="36" customBuiltin="1"/>
    <cellStyle name="60% - Énfasis2 2" xfId="190" xr:uid="{00000000-0005-0000-0000-00002D000000}"/>
    <cellStyle name="60% - Énfasis2 3" xfId="228" xr:uid="{00000000-0005-0000-0000-00002E000000}"/>
    <cellStyle name="60% - Énfasis3" xfId="31" builtinId="40" customBuiltin="1"/>
    <cellStyle name="60% - Énfasis3 2" xfId="146" xr:uid="{00000000-0005-0000-0000-000030000000}"/>
    <cellStyle name="60% - Énfasis3 2 2" xfId="191" xr:uid="{00000000-0005-0000-0000-000031000000}"/>
    <cellStyle name="60% - Énfasis3 3" xfId="192" xr:uid="{00000000-0005-0000-0000-000032000000}"/>
    <cellStyle name="60% - Énfasis4" xfId="35" builtinId="44" customBuiltin="1"/>
    <cellStyle name="60% - Énfasis4 2" xfId="147" xr:uid="{00000000-0005-0000-0000-000034000000}"/>
    <cellStyle name="60% - Énfasis4 2 2" xfId="193" xr:uid="{00000000-0005-0000-0000-000035000000}"/>
    <cellStyle name="60% - Énfasis4 3" xfId="194" xr:uid="{00000000-0005-0000-0000-000036000000}"/>
    <cellStyle name="60% - Énfasis5" xfId="39" builtinId="48" customBuiltin="1"/>
    <cellStyle name="60% - Énfasis5 2" xfId="195" xr:uid="{00000000-0005-0000-0000-000038000000}"/>
    <cellStyle name="60% - Énfasis5 3" xfId="196" xr:uid="{00000000-0005-0000-0000-000039000000}"/>
    <cellStyle name="60% - Énfasis6" xfId="43" builtinId="52" customBuiltin="1"/>
    <cellStyle name="60% - Énfasis6 2" xfId="148" xr:uid="{00000000-0005-0000-0000-00003B000000}"/>
    <cellStyle name="60% - Énfasis6 2 2" xfId="197" xr:uid="{00000000-0005-0000-0000-00003C000000}"/>
    <cellStyle name="60% - Énfasis6 3" xfId="198" xr:uid="{00000000-0005-0000-0000-00003D000000}"/>
    <cellStyle name="Buena 2" xfId="199" xr:uid="{00000000-0005-0000-0000-00003F000000}"/>
    <cellStyle name="Buena 3" xfId="221" xr:uid="{00000000-0005-0000-0000-000040000000}"/>
    <cellStyle name="Bueno" xfId="8" builtinId="26" customBuiltin="1"/>
    <cellStyle name="Cálculo" xfId="13" builtinId="22" customBuiltin="1"/>
    <cellStyle name="Cálculo 2" xfId="223" xr:uid="{00000000-0005-0000-0000-000042000000}"/>
    <cellStyle name="Cálculo 3" xfId="200" xr:uid="{00000000-0005-0000-0000-000043000000}"/>
    <cellStyle name="Celda de comprobación" xfId="15" builtinId="23" customBuiltin="1"/>
    <cellStyle name="Celda de comprobación 2" xfId="212" xr:uid="{00000000-0005-0000-0000-000045000000}"/>
    <cellStyle name="Celda de comprobación 3" xfId="227" xr:uid="{00000000-0005-0000-0000-000046000000}"/>
    <cellStyle name="Celda vinculada" xfId="14" builtinId="24" customBuiltin="1"/>
    <cellStyle name="Celda vinculada 2" xfId="226" xr:uid="{00000000-0005-0000-0000-000048000000}"/>
    <cellStyle name="Celda vinculada 3" xfId="225" xr:uid="{00000000-0005-0000-0000-000049000000}"/>
    <cellStyle name="Encabezado 1" xfId="4" builtinId="16" customBuiltin="1"/>
    <cellStyle name="Encabezado 4" xfId="7" builtinId="19" customBuiltin="1"/>
    <cellStyle name="Encabezado 4 2" xfId="201" xr:uid="{00000000-0005-0000-0000-00004C000000}"/>
    <cellStyle name="Encabezado 4 3" xfId="211" xr:uid="{00000000-0005-0000-0000-00004D000000}"/>
    <cellStyle name="Énfasis1" xfId="20" builtinId="29" customBuiltin="1"/>
    <cellStyle name="Énfasis1 2" xfId="202" xr:uid="{00000000-0005-0000-0000-00004F000000}"/>
    <cellStyle name="Énfasis1 3" xfId="203" xr:uid="{00000000-0005-0000-0000-000050000000}"/>
    <cellStyle name="Énfasis2" xfId="24" builtinId="33" customBuiltin="1"/>
    <cellStyle name="Énfasis2 2" xfId="204" xr:uid="{00000000-0005-0000-0000-000052000000}"/>
    <cellStyle name="Énfasis2 3" xfId="205" xr:uid="{00000000-0005-0000-0000-000053000000}"/>
    <cellStyle name="Énfasis3" xfId="28" builtinId="37" customBuiltin="1"/>
    <cellStyle name="Énfasis3 2" xfId="206" xr:uid="{00000000-0005-0000-0000-000055000000}"/>
    <cellStyle name="Énfasis3 3" xfId="207" xr:uid="{00000000-0005-0000-0000-000056000000}"/>
    <cellStyle name="Énfasis4" xfId="32" builtinId="41" customBuiltin="1"/>
    <cellStyle name="Énfasis4 2" xfId="208" xr:uid="{00000000-0005-0000-0000-000058000000}"/>
    <cellStyle name="Énfasis4 3" xfId="222" xr:uid="{00000000-0005-0000-0000-000059000000}"/>
    <cellStyle name="Énfasis5" xfId="36" builtinId="45" customBuiltin="1"/>
    <cellStyle name="Énfasis5 2" xfId="224" xr:uid="{00000000-0005-0000-0000-00005B000000}"/>
    <cellStyle name="Énfasis5 3" xfId="209" xr:uid="{00000000-0005-0000-0000-00005C000000}"/>
    <cellStyle name="Énfasis6" xfId="40" builtinId="49" customBuiltin="1"/>
    <cellStyle name="Énfasis6 2" xfId="216" xr:uid="{00000000-0005-0000-0000-00005E000000}"/>
    <cellStyle name="Énfasis6 3" xfId="218" xr:uid="{00000000-0005-0000-0000-00005F000000}"/>
    <cellStyle name="Entrada" xfId="11" builtinId="20" customBuiltin="1"/>
    <cellStyle name="Entrada 2" xfId="219" xr:uid="{00000000-0005-0000-0000-000061000000}"/>
    <cellStyle name="Entrada 3" xfId="214" xr:uid="{00000000-0005-0000-0000-000062000000}"/>
    <cellStyle name="Euro" xfId="44" xr:uid="{00000000-0005-0000-0000-000063000000}"/>
    <cellStyle name="Euro 2" xfId="45" xr:uid="{00000000-0005-0000-0000-000064000000}"/>
    <cellStyle name="Hipervínculo" xfId="169" builtinId="8"/>
    <cellStyle name="Hipervínculo 2" xfId="149" xr:uid="{00000000-0005-0000-0000-000066000000}"/>
    <cellStyle name="Hipervínculo 2 2" xfId="327" xr:uid="{00000000-0005-0000-0000-000067000000}"/>
    <cellStyle name="Hipervínculo 3" xfId="318" xr:uid="{00000000-0005-0000-0000-000068000000}"/>
    <cellStyle name="Incorrecto" xfId="9" builtinId="27" customBuiltin="1"/>
    <cellStyle name="Incorrecto 2" xfId="215" xr:uid="{00000000-0005-0000-0000-00006A000000}"/>
    <cellStyle name="Incorrecto 3" xfId="213" xr:uid="{00000000-0005-0000-0000-00006B000000}"/>
    <cellStyle name="Millares" xfId="1" builtinId="3"/>
    <cellStyle name="Millares [0]" xfId="326" builtinId="6"/>
    <cellStyle name="Millares [0] 2" xfId="46" xr:uid="{00000000-0005-0000-0000-00006E000000}"/>
    <cellStyle name="Millares [0] 2 2" xfId="47" xr:uid="{00000000-0005-0000-0000-00006F000000}"/>
    <cellStyle name="Millares [0] 3" xfId="48" xr:uid="{00000000-0005-0000-0000-000070000000}"/>
    <cellStyle name="Millares [0] 4" xfId="347" xr:uid="{00000000-0005-0000-0000-000071000000}"/>
    <cellStyle name="Millares [0] 4 2" xfId="353" xr:uid="{527E033E-232E-4D4C-A97E-4709AE14AFA3}"/>
    <cellStyle name="Millares [0] 5" xfId="348" xr:uid="{00000000-0005-0000-0000-000072000000}"/>
    <cellStyle name="Millares [0] 5 2" xfId="354" xr:uid="{80F103DF-8CA4-4B43-91C7-44A1956BC751}"/>
    <cellStyle name="Millares [0] 6" xfId="349" xr:uid="{00000000-0005-0000-0000-000073000000}"/>
    <cellStyle name="Millares [0] 6 2" xfId="355" xr:uid="{DBF22727-D8EF-4EA4-9DE6-754CF11DACBA}"/>
    <cellStyle name="Millares [0] 7" xfId="352" xr:uid="{318DDA8F-E088-42A8-9541-45AD5F081B26}"/>
    <cellStyle name="Millares 10" xfId="49" xr:uid="{00000000-0005-0000-0000-000074000000}"/>
    <cellStyle name="Millares 11" xfId="50" xr:uid="{00000000-0005-0000-0000-000075000000}"/>
    <cellStyle name="Millares 12" xfId="51" xr:uid="{00000000-0005-0000-0000-000076000000}"/>
    <cellStyle name="Millares 13" xfId="52" xr:uid="{00000000-0005-0000-0000-000077000000}"/>
    <cellStyle name="Millares 14" xfId="53" xr:uid="{00000000-0005-0000-0000-000078000000}"/>
    <cellStyle name="Millares 15" xfId="54" xr:uid="{00000000-0005-0000-0000-000079000000}"/>
    <cellStyle name="Millares 16" xfId="55" xr:uid="{00000000-0005-0000-0000-00007A000000}"/>
    <cellStyle name="Millares 17" xfId="56" xr:uid="{00000000-0005-0000-0000-00007B000000}"/>
    <cellStyle name="Millares 18" xfId="57" xr:uid="{00000000-0005-0000-0000-00007C000000}"/>
    <cellStyle name="Millares 19" xfId="58" xr:uid="{00000000-0005-0000-0000-00007D000000}"/>
    <cellStyle name="Millares 2" xfId="59" xr:uid="{00000000-0005-0000-0000-00007E000000}"/>
    <cellStyle name="Millares 2 2" xfId="150" xr:uid="{00000000-0005-0000-0000-00007F000000}"/>
    <cellStyle name="Millares 2 3" xfId="151" xr:uid="{00000000-0005-0000-0000-000080000000}"/>
    <cellStyle name="Millares 2 4" xfId="152" xr:uid="{00000000-0005-0000-0000-000081000000}"/>
    <cellStyle name="Millares 2 5" xfId="153" xr:uid="{00000000-0005-0000-0000-000082000000}"/>
    <cellStyle name="Millares 20" xfId="60" xr:uid="{00000000-0005-0000-0000-000083000000}"/>
    <cellStyle name="Millares 21" xfId="61" xr:uid="{00000000-0005-0000-0000-000084000000}"/>
    <cellStyle name="Millares 22" xfId="62" xr:uid="{00000000-0005-0000-0000-000085000000}"/>
    <cellStyle name="Millares 23" xfId="63" xr:uid="{00000000-0005-0000-0000-000086000000}"/>
    <cellStyle name="Millares 24" xfId="64" xr:uid="{00000000-0005-0000-0000-000087000000}"/>
    <cellStyle name="Millares 25" xfId="65" xr:uid="{00000000-0005-0000-0000-000088000000}"/>
    <cellStyle name="Millares 26" xfId="66" xr:uid="{00000000-0005-0000-0000-000089000000}"/>
    <cellStyle name="Millares 27" xfId="67" xr:uid="{00000000-0005-0000-0000-00008A000000}"/>
    <cellStyle name="Millares 28" xfId="68" xr:uid="{00000000-0005-0000-0000-00008B000000}"/>
    <cellStyle name="Millares 29" xfId="69" xr:uid="{00000000-0005-0000-0000-00008C000000}"/>
    <cellStyle name="Millares 3" xfId="70" xr:uid="{00000000-0005-0000-0000-00008D000000}"/>
    <cellStyle name="Millares 3 2" xfId="232" xr:uid="{00000000-0005-0000-0000-00008E000000}"/>
    <cellStyle name="Millares 30" xfId="71" xr:uid="{00000000-0005-0000-0000-00008F000000}"/>
    <cellStyle name="Millares 31" xfId="72" xr:uid="{00000000-0005-0000-0000-000090000000}"/>
    <cellStyle name="Millares 32" xfId="73" xr:uid="{00000000-0005-0000-0000-000091000000}"/>
    <cellStyle name="Millares 33" xfId="74" xr:uid="{00000000-0005-0000-0000-000092000000}"/>
    <cellStyle name="Millares 34" xfId="75" xr:uid="{00000000-0005-0000-0000-000093000000}"/>
    <cellStyle name="Millares 35" xfId="76" xr:uid="{00000000-0005-0000-0000-000094000000}"/>
    <cellStyle name="Millares 36" xfId="77" xr:uid="{00000000-0005-0000-0000-000095000000}"/>
    <cellStyle name="Millares 37" xfId="78" xr:uid="{00000000-0005-0000-0000-000096000000}"/>
    <cellStyle name="Millares 38" xfId="79" xr:uid="{00000000-0005-0000-0000-000097000000}"/>
    <cellStyle name="Millares 39" xfId="80" xr:uid="{00000000-0005-0000-0000-000098000000}"/>
    <cellStyle name="Millares 4" xfId="81" xr:uid="{00000000-0005-0000-0000-000099000000}"/>
    <cellStyle name="Millares 4 2" xfId="155" xr:uid="{00000000-0005-0000-0000-00009A000000}"/>
    <cellStyle name="Millares 4 3" xfId="154" xr:uid="{00000000-0005-0000-0000-00009B000000}"/>
    <cellStyle name="Millares 40" xfId="82" xr:uid="{00000000-0005-0000-0000-00009C000000}"/>
    <cellStyle name="Millares 41" xfId="83" xr:uid="{00000000-0005-0000-0000-00009D000000}"/>
    <cellStyle name="Millares 42" xfId="84" xr:uid="{00000000-0005-0000-0000-00009E000000}"/>
    <cellStyle name="Millares 43" xfId="85" xr:uid="{00000000-0005-0000-0000-00009F000000}"/>
    <cellStyle name="Millares 44" xfId="86" xr:uid="{00000000-0005-0000-0000-0000A0000000}"/>
    <cellStyle name="Millares 45" xfId="87" xr:uid="{00000000-0005-0000-0000-0000A1000000}"/>
    <cellStyle name="Millares 46" xfId="88" xr:uid="{00000000-0005-0000-0000-0000A2000000}"/>
    <cellStyle name="Millares 47" xfId="89" xr:uid="{00000000-0005-0000-0000-0000A3000000}"/>
    <cellStyle name="Millares 48" xfId="90" xr:uid="{00000000-0005-0000-0000-0000A4000000}"/>
    <cellStyle name="Millares 49" xfId="91" xr:uid="{00000000-0005-0000-0000-0000A5000000}"/>
    <cellStyle name="Millares 5" xfId="92" xr:uid="{00000000-0005-0000-0000-0000A6000000}"/>
    <cellStyle name="Millares 50" xfId="93" xr:uid="{00000000-0005-0000-0000-0000A7000000}"/>
    <cellStyle name="Millares 51" xfId="94" xr:uid="{00000000-0005-0000-0000-0000A8000000}"/>
    <cellStyle name="Millares 52" xfId="95" xr:uid="{00000000-0005-0000-0000-0000A9000000}"/>
    <cellStyle name="Millares 53" xfId="96" xr:uid="{00000000-0005-0000-0000-0000AA000000}"/>
    <cellStyle name="Millares 54" xfId="97" xr:uid="{00000000-0005-0000-0000-0000AB000000}"/>
    <cellStyle name="Millares 55" xfId="98" xr:uid="{00000000-0005-0000-0000-0000AC000000}"/>
    <cellStyle name="Millares 56" xfId="99" xr:uid="{00000000-0005-0000-0000-0000AD000000}"/>
    <cellStyle name="Millares 57" xfId="100" xr:uid="{00000000-0005-0000-0000-0000AE000000}"/>
    <cellStyle name="Millares 58" xfId="101" xr:uid="{00000000-0005-0000-0000-0000AF000000}"/>
    <cellStyle name="Millares 59" xfId="102" xr:uid="{00000000-0005-0000-0000-0000B0000000}"/>
    <cellStyle name="Millares 6" xfId="103" xr:uid="{00000000-0005-0000-0000-0000B1000000}"/>
    <cellStyle name="Millares 6 2" xfId="341" xr:uid="{00000000-0005-0000-0000-0000B2000000}"/>
    <cellStyle name="Millares 60" xfId="104" xr:uid="{00000000-0005-0000-0000-0000B3000000}"/>
    <cellStyle name="Millares 61" xfId="105" xr:uid="{00000000-0005-0000-0000-0000B4000000}"/>
    <cellStyle name="Millares 62" xfId="106" xr:uid="{00000000-0005-0000-0000-0000B5000000}"/>
    <cellStyle name="Millares 63" xfId="107" xr:uid="{00000000-0005-0000-0000-0000B6000000}"/>
    <cellStyle name="Millares 64" xfId="108" xr:uid="{00000000-0005-0000-0000-0000B7000000}"/>
    <cellStyle name="Millares 65" xfId="109" xr:uid="{00000000-0005-0000-0000-0000B8000000}"/>
    <cellStyle name="Millares 66" xfId="110" xr:uid="{00000000-0005-0000-0000-0000B9000000}"/>
    <cellStyle name="Millares 67" xfId="111" xr:uid="{00000000-0005-0000-0000-0000BA000000}"/>
    <cellStyle name="Millares 68" xfId="112" xr:uid="{00000000-0005-0000-0000-0000BB000000}"/>
    <cellStyle name="Millares 69" xfId="113" xr:uid="{00000000-0005-0000-0000-0000BC000000}"/>
    <cellStyle name="Millares 7" xfId="114" xr:uid="{00000000-0005-0000-0000-0000BD000000}"/>
    <cellStyle name="Millares 70" xfId="156" xr:uid="{00000000-0005-0000-0000-0000BE000000}"/>
    <cellStyle name="Millares 71" xfId="166" xr:uid="{00000000-0005-0000-0000-0000BF000000}"/>
    <cellStyle name="Millares 72" xfId="167" xr:uid="{00000000-0005-0000-0000-0000C0000000}"/>
    <cellStyle name="Millares 73" xfId="319" xr:uid="{00000000-0005-0000-0000-0000C1000000}"/>
    <cellStyle name="Millares 8" xfId="115" xr:uid="{00000000-0005-0000-0000-0000C2000000}"/>
    <cellStyle name="Millares 9" xfId="116" xr:uid="{00000000-0005-0000-0000-0000C3000000}"/>
    <cellStyle name="Moneda [0]" xfId="350" builtinId="7"/>
    <cellStyle name="Moneda [0] 2" xfId="356" xr:uid="{4AB0A642-B37F-42FB-A842-9FE4962EF972}"/>
    <cellStyle name="Moneda 2" xfId="320" xr:uid="{00000000-0005-0000-0000-0000C6000000}"/>
    <cellStyle name="Moneda 3" xfId="342" xr:uid="{00000000-0005-0000-0000-0000C7000000}"/>
    <cellStyle name="Moneda 4" xfId="351" xr:uid="{3B87DB9C-EC7D-44DF-85A0-CCDC085A43C2}"/>
    <cellStyle name="Neutral" xfId="10" builtinId="28" customBuiltin="1"/>
    <cellStyle name="Neutral 2" xfId="233" xr:uid="{00000000-0005-0000-0000-0000C9000000}"/>
    <cellStyle name="Neutral 3" xfId="234" xr:uid="{00000000-0005-0000-0000-0000CA000000}"/>
    <cellStyle name="Normal" xfId="0" builtinId="0"/>
    <cellStyle name="Normal 10" xfId="117" xr:uid="{00000000-0005-0000-0000-0000CC000000}"/>
    <cellStyle name="Normal 11" xfId="140" xr:uid="{00000000-0005-0000-0000-0000CD000000}"/>
    <cellStyle name="Normal 11 2" xfId="168" xr:uid="{00000000-0005-0000-0000-0000CE000000}"/>
    <cellStyle name="Normal 12" xfId="118" xr:uid="{00000000-0005-0000-0000-0000CF000000}"/>
    <cellStyle name="Normal 12 2" xfId="235" xr:uid="{00000000-0005-0000-0000-0000D0000000}"/>
    <cellStyle name="Normal 13" xfId="119" xr:uid="{00000000-0005-0000-0000-0000D1000000}"/>
    <cellStyle name="Normal 13 2" xfId="236" xr:uid="{00000000-0005-0000-0000-0000D2000000}"/>
    <cellStyle name="Normal 14" xfId="120" xr:uid="{00000000-0005-0000-0000-0000D3000000}"/>
    <cellStyle name="Normal 14 2" xfId="237" xr:uid="{00000000-0005-0000-0000-0000D4000000}"/>
    <cellStyle name="Normal 15" xfId="121" xr:uid="{00000000-0005-0000-0000-0000D5000000}"/>
    <cellStyle name="Normal 15 2" xfId="238" xr:uid="{00000000-0005-0000-0000-0000D6000000}"/>
    <cellStyle name="Normal 16" xfId="122" xr:uid="{00000000-0005-0000-0000-0000D7000000}"/>
    <cellStyle name="Normal 16 2" xfId="239" xr:uid="{00000000-0005-0000-0000-0000D8000000}"/>
    <cellStyle name="Normal 17" xfId="123" xr:uid="{00000000-0005-0000-0000-0000D9000000}"/>
    <cellStyle name="Normal 17 2" xfId="240" xr:uid="{00000000-0005-0000-0000-0000DA000000}"/>
    <cellStyle name="Normal 18" xfId="124" xr:uid="{00000000-0005-0000-0000-0000DB000000}"/>
    <cellStyle name="Normal 18 2" xfId="241" xr:uid="{00000000-0005-0000-0000-0000DC000000}"/>
    <cellStyle name="Normal 19" xfId="125" xr:uid="{00000000-0005-0000-0000-0000DD000000}"/>
    <cellStyle name="Normal 19 2" xfId="242" xr:uid="{00000000-0005-0000-0000-0000DE000000}"/>
    <cellStyle name="Normal 2" xfId="126" xr:uid="{00000000-0005-0000-0000-0000DF000000}"/>
    <cellStyle name="Normal 2 2" xfId="127" xr:uid="{00000000-0005-0000-0000-0000E0000000}"/>
    <cellStyle name="Normal 2 2 2" xfId="128" xr:uid="{00000000-0005-0000-0000-0000E1000000}"/>
    <cellStyle name="Normal 2 2 2 2" xfId="321" xr:uid="{00000000-0005-0000-0000-0000E2000000}"/>
    <cellStyle name="Normal 2 2 3" xfId="158" xr:uid="{00000000-0005-0000-0000-0000E3000000}"/>
    <cellStyle name="Normal 2 2 4" xfId="157" xr:uid="{00000000-0005-0000-0000-0000E4000000}"/>
    <cellStyle name="Normal 2 2 5" xfId="329" xr:uid="{00000000-0005-0000-0000-0000E5000000}"/>
    <cellStyle name="Normal 2 3" xfId="129" xr:uid="{00000000-0005-0000-0000-0000E6000000}"/>
    <cellStyle name="Normal 2 3 2" xfId="337" xr:uid="{00000000-0005-0000-0000-0000E7000000}"/>
    <cellStyle name="Normal 2 4" xfId="243" xr:uid="{00000000-0005-0000-0000-0000E8000000}"/>
    <cellStyle name="Normal 2 4 2" xfId="343" xr:uid="{00000000-0005-0000-0000-0000E9000000}"/>
    <cellStyle name="Normal 2 5" xfId="322" xr:uid="{00000000-0005-0000-0000-0000EA000000}"/>
    <cellStyle name="Normal 2 5 2" xfId="346" xr:uid="{00000000-0005-0000-0000-0000EB000000}"/>
    <cellStyle name="Normal 20" xfId="244" xr:uid="{00000000-0005-0000-0000-0000EC000000}"/>
    <cellStyle name="Normal 21" xfId="245" xr:uid="{00000000-0005-0000-0000-0000ED000000}"/>
    <cellStyle name="Normal 22" xfId="246" xr:uid="{00000000-0005-0000-0000-0000EE000000}"/>
    <cellStyle name="Normal 23" xfId="247" xr:uid="{00000000-0005-0000-0000-0000EF000000}"/>
    <cellStyle name="Normal 24" xfId="248" xr:uid="{00000000-0005-0000-0000-0000F0000000}"/>
    <cellStyle name="Normal 25" xfId="249" xr:uid="{00000000-0005-0000-0000-0000F1000000}"/>
    <cellStyle name="Normal 26" xfId="250" xr:uid="{00000000-0005-0000-0000-0000F2000000}"/>
    <cellStyle name="Normal 27" xfId="251" xr:uid="{00000000-0005-0000-0000-0000F3000000}"/>
    <cellStyle name="Normal 28" xfId="252" xr:uid="{00000000-0005-0000-0000-0000F4000000}"/>
    <cellStyle name="Normal 29" xfId="253" xr:uid="{00000000-0005-0000-0000-0000F5000000}"/>
    <cellStyle name="Normal 3" xfId="130" xr:uid="{00000000-0005-0000-0000-0000F6000000}"/>
    <cellStyle name="Normal 3 2" xfId="131" xr:uid="{00000000-0005-0000-0000-0000F7000000}"/>
    <cellStyle name="Normal 3 2 2" xfId="254" xr:uid="{00000000-0005-0000-0000-0000F8000000}"/>
    <cellStyle name="Normal 3 3" xfId="255" xr:uid="{00000000-0005-0000-0000-0000F9000000}"/>
    <cellStyle name="Normal 3 4" xfId="256" xr:uid="{00000000-0005-0000-0000-0000FA000000}"/>
    <cellStyle name="Normal 3 5" xfId="331" xr:uid="{00000000-0005-0000-0000-0000FB000000}"/>
    <cellStyle name="Normal 3 6" xfId="338" xr:uid="{00000000-0005-0000-0000-0000FC000000}"/>
    <cellStyle name="Normal 3 7" xfId="333" xr:uid="{00000000-0005-0000-0000-0000FD000000}"/>
    <cellStyle name="Normal 30" xfId="257" xr:uid="{00000000-0005-0000-0000-0000FE000000}"/>
    <cellStyle name="Normal 31" xfId="258" xr:uid="{00000000-0005-0000-0000-0000FF000000}"/>
    <cellStyle name="Normal 32" xfId="259" xr:uid="{00000000-0005-0000-0000-000000010000}"/>
    <cellStyle name="Normal 33" xfId="260" xr:uid="{00000000-0005-0000-0000-000001010000}"/>
    <cellStyle name="Normal 34" xfId="261" xr:uid="{00000000-0005-0000-0000-000002010000}"/>
    <cellStyle name="Normal 35" xfId="262" xr:uid="{00000000-0005-0000-0000-000003010000}"/>
    <cellStyle name="Normal 36" xfId="263" xr:uid="{00000000-0005-0000-0000-000004010000}"/>
    <cellStyle name="Normal 37" xfId="264" xr:uid="{00000000-0005-0000-0000-000005010000}"/>
    <cellStyle name="Normal 38" xfId="265" xr:uid="{00000000-0005-0000-0000-000006010000}"/>
    <cellStyle name="Normal 39" xfId="266" xr:uid="{00000000-0005-0000-0000-000007010000}"/>
    <cellStyle name="Normal 4" xfId="132" xr:uid="{00000000-0005-0000-0000-000008010000}"/>
    <cellStyle name="Normal 4 2" xfId="334" xr:uid="{00000000-0005-0000-0000-000009010000}"/>
    <cellStyle name="Normal 40" xfId="267" xr:uid="{00000000-0005-0000-0000-00000A010000}"/>
    <cellStyle name="Normal 41" xfId="268" xr:uid="{00000000-0005-0000-0000-00000B010000}"/>
    <cellStyle name="Normal 42" xfId="269" xr:uid="{00000000-0005-0000-0000-00000C010000}"/>
    <cellStyle name="Normal 43" xfId="270" xr:uid="{00000000-0005-0000-0000-00000D010000}"/>
    <cellStyle name="Normal 44" xfId="271" xr:uid="{00000000-0005-0000-0000-00000E010000}"/>
    <cellStyle name="Normal 45" xfId="272" xr:uid="{00000000-0005-0000-0000-00000F010000}"/>
    <cellStyle name="Normal 46" xfId="328" xr:uid="{00000000-0005-0000-0000-000010010000}"/>
    <cellStyle name="Normal 47" xfId="273" xr:uid="{00000000-0005-0000-0000-000011010000}"/>
    <cellStyle name="Normal 48" xfId="274" xr:uid="{00000000-0005-0000-0000-000012010000}"/>
    <cellStyle name="Normal 49" xfId="275" xr:uid="{00000000-0005-0000-0000-000013010000}"/>
    <cellStyle name="Normal 5" xfId="133" xr:uid="{00000000-0005-0000-0000-000014010000}"/>
    <cellStyle name="Normal 5 2" xfId="339" xr:uid="{00000000-0005-0000-0000-000015010000}"/>
    <cellStyle name="Normal 5 3" xfId="335" xr:uid="{00000000-0005-0000-0000-000016010000}"/>
    <cellStyle name="Normal 50" xfId="276" xr:uid="{00000000-0005-0000-0000-000017010000}"/>
    <cellStyle name="Normal 51" xfId="277" xr:uid="{00000000-0005-0000-0000-000018010000}"/>
    <cellStyle name="Normal 52" xfId="278" xr:uid="{00000000-0005-0000-0000-000019010000}"/>
    <cellStyle name="Normal 53" xfId="279" xr:uid="{00000000-0005-0000-0000-00001A010000}"/>
    <cellStyle name="Normal 54" xfId="280" xr:uid="{00000000-0005-0000-0000-00001B010000}"/>
    <cellStyle name="Normal 55" xfId="281" xr:uid="{00000000-0005-0000-0000-00001C010000}"/>
    <cellStyle name="Normal 56" xfId="282" xr:uid="{00000000-0005-0000-0000-00001D010000}"/>
    <cellStyle name="Normal 57" xfId="283" xr:uid="{00000000-0005-0000-0000-00001E010000}"/>
    <cellStyle name="Normal 58" xfId="284" xr:uid="{00000000-0005-0000-0000-00001F010000}"/>
    <cellStyle name="Normal 59" xfId="285" xr:uid="{00000000-0005-0000-0000-000020010000}"/>
    <cellStyle name="Normal 6" xfId="134" xr:uid="{00000000-0005-0000-0000-000021010000}"/>
    <cellStyle name="Normal 6 2" xfId="286" xr:uid="{00000000-0005-0000-0000-000022010000}"/>
    <cellStyle name="Normal 6 3" xfId="332" xr:uid="{00000000-0005-0000-0000-000023010000}"/>
    <cellStyle name="Normal 60" xfId="287" xr:uid="{00000000-0005-0000-0000-000024010000}"/>
    <cellStyle name="Normal 61" xfId="288" xr:uid="{00000000-0005-0000-0000-000025010000}"/>
    <cellStyle name="Normal 62" xfId="289" xr:uid="{00000000-0005-0000-0000-000026010000}"/>
    <cellStyle name="Normal 63" xfId="290" xr:uid="{00000000-0005-0000-0000-000027010000}"/>
    <cellStyle name="Normal 64" xfId="291" xr:uid="{00000000-0005-0000-0000-000028010000}"/>
    <cellStyle name="Normal 65" xfId="292" xr:uid="{00000000-0005-0000-0000-000029010000}"/>
    <cellStyle name="Normal 66" xfId="293" xr:uid="{00000000-0005-0000-0000-00002A010000}"/>
    <cellStyle name="Normal 67" xfId="294" xr:uid="{00000000-0005-0000-0000-00002B010000}"/>
    <cellStyle name="Normal 68" xfId="295" xr:uid="{00000000-0005-0000-0000-00002C010000}"/>
    <cellStyle name="Normal 69" xfId="296" xr:uid="{00000000-0005-0000-0000-00002D010000}"/>
    <cellStyle name="Normal 7" xfId="135" xr:uid="{00000000-0005-0000-0000-00002E010000}"/>
    <cellStyle name="Normal 7 2" xfId="323" xr:uid="{00000000-0005-0000-0000-00002F010000}"/>
    <cellStyle name="Normal 7 3" xfId="336" xr:uid="{00000000-0005-0000-0000-000030010000}"/>
    <cellStyle name="Normal 70" xfId="297" xr:uid="{00000000-0005-0000-0000-000031010000}"/>
    <cellStyle name="Normal 71" xfId="298" xr:uid="{00000000-0005-0000-0000-000032010000}"/>
    <cellStyle name="Normal 72" xfId="299" xr:uid="{00000000-0005-0000-0000-000033010000}"/>
    <cellStyle name="Normal 73" xfId="300" xr:uid="{00000000-0005-0000-0000-000034010000}"/>
    <cellStyle name="Normal 74" xfId="301" xr:uid="{00000000-0005-0000-0000-000035010000}"/>
    <cellStyle name="Normal 75" xfId="302" xr:uid="{00000000-0005-0000-0000-000036010000}"/>
    <cellStyle name="Normal 76" xfId="330" xr:uid="{00000000-0005-0000-0000-000037010000}"/>
    <cellStyle name="Normal 77" xfId="358" xr:uid="{1114735A-FE41-47CC-9044-F2485A539B1B}"/>
    <cellStyle name="Normal 77 2" xfId="359" xr:uid="{11FAA6BD-6932-43D3-8A20-B60E79EA15BD}"/>
    <cellStyle name="Normal 78" xfId="360" xr:uid="{14721E59-C76B-4AA5-A089-3D801A9BDF54}"/>
    <cellStyle name="Normal 8" xfId="136" xr:uid="{00000000-0005-0000-0000-000038010000}"/>
    <cellStyle name="Normal 9" xfId="137" xr:uid="{00000000-0005-0000-0000-000039010000}"/>
    <cellStyle name="Normal_Hoja1" xfId="357" xr:uid="{38383D16-1806-4F83-B37A-5D0CF4D19EF1}"/>
    <cellStyle name="Notas" xfId="17" builtinId="10" customBuiltin="1"/>
    <cellStyle name="Notas 2" xfId="159" xr:uid="{00000000-0005-0000-0000-00003B010000}"/>
    <cellStyle name="Notas 2 2" xfId="160" xr:uid="{00000000-0005-0000-0000-00003C010000}"/>
    <cellStyle name="Notas 2 2 2" xfId="325" xr:uid="{00000000-0005-0000-0000-00003D010000}"/>
    <cellStyle name="Notas 2 2 3" xfId="344" xr:uid="{00000000-0005-0000-0000-00003E010000}"/>
    <cellStyle name="Notas 2 3" xfId="303" xr:uid="{00000000-0005-0000-0000-00003F010000}"/>
    <cellStyle name="Notas 2 4" xfId="324" xr:uid="{00000000-0005-0000-0000-000040010000}"/>
    <cellStyle name="Porcentaje" xfId="2" builtinId="5"/>
    <cellStyle name="Porcentaje 2" xfId="138" xr:uid="{00000000-0005-0000-0000-000042010000}"/>
    <cellStyle name="Porcentaje 3" xfId="340" xr:uid="{00000000-0005-0000-0000-000043010000}"/>
    <cellStyle name="Porcentual 2" xfId="139" xr:uid="{00000000-0005-0000-0000-000044010000}"/>
    <cellStyle name="Porcentual 2 2" xfId="161" xr:uid="{00000000-0005-0000-0000-000045010000}"/>
    <cellStyle name="Porcentual 2 3" xfId="162" xr:uid="{00000000-0005-0000-0000-000046010000}"/>
    <cellStyle name="Porcentual 2 4" xfId="163" xr:uid="{00000000-0005-0000-0000-000047010000}"/>
    <cellStyle name="Porcentual 2 5" xfId="164" xr:uid="{00000000-0005-0000-0000-000048010000}"/>
    <cellStyle name="Porcentual 3" xfId="165" xr:uid="{00000000-0005-0000-0000-000049010000}"/>
    <cellStyle name="Salida" xfId="12" builtinId="21" customBuiltin="1"/>
    <cellStyle name="Salida 2" xfId="304" xr:uid="{00000000-0005-0000-0000-00004B010000}"/>
    <cellStyle name="Salida 3" xfId="305" xr:uid="{00000000-0005-0000-0000-00004C010000}"/>
    <cellStyle name="Texto de advertencia" xfId="16" builtinId="11" customBuiltin="1"/>
    <cellStyle name="Texto de advertencia 2" xfId="306" xr:uid="{00000000-0005-0000-0000-00004E010000}"/>
    <cellStyle name="Texto de advertencia 3" xfId="307" xr:uid="{00000000-0005-0000-0000-00004F010000}"/>
    <cellStyle name="Texto explicativo" xfId="18" builtinId="53" customBuiltin="1"/>
    <cellStyle name="Texto explicativo 2" xfId="308" xr:uid="{00000000-0005-0000-0000-000051010000}"/>
    <cellStyle name="Texto explicativo 3" xfId="309" xr:uid="{00000000-0005-0000-0000-000052010000}"/>
    <cellStyle name="Título" xfId="3" builtinId="15" customBuiltin="1"/>
    <cellStyle name="Título 1 2" xfId="310" xr:uid="{00000000-0005-0000-0000-000054010000}"/>
    <cellStyle name="Título 1 3" xfId="311" xr:uid="{00000000-0005-0000-0000-000055010000}"/>
    <cellStyle name="Título 2" xfId="5" builtinId="17" customBuiltin="1"/>
    <cellStyle name="Título 2 2" xfId="312" xr:uid="{00000000-0005-0000-0000-000057010000}"/>
    <cellStyle name="Título 2 3" xfId="313" xr:uid="{00000000-0005-0000-0000-000058010000}"/>
    <cellStyle name="Título 3" xfId="6" builtinId="18" customBuiltin="1"/>
    <cellStyle name="Título 3 2" xfId="314" xr:uid="{00000000-0005-0000-0000-00005A010000}"/>
    <cellStyle name="Título 3 3" xfId="315" xr:uid="{00000000-0005-0000-0000-00005B010000}"/>
    <cellStyle name="Título 4" xfId="345" xr:uid="{00000000-0005-0000-0000-00005C010000}"/>
    <cellStyle name="Total" xfId="19" builtinId="25" customBuiltin="1"/>
    <cellStyle name="Total 2" xfId="316" xr:uid="{00000000-0005-0000-0000-00005E010000}"/>
    <cellStyle name="Total 3" xfId="317" xr:uid="{00000000-0005-0000-0000-00005F010000}"/>
  </cellStyles>
  <dxfs count="0"/>
  <tableStyles count="0" defaultTableStyle="TableStyleMedium2" defaultPivotStyle="PivotStyleLight16"/>
  <colors>
    <mruColors>
      <color rgb="FF3F747D"/>
      <color rgb="FF2D3D43"/>
      <color rgb="FF009999"/>
      <color rgb="FF0C948A"/>
      <color rgb="FFFD625E"/>
      <color rgb="FF006666"/>
      <color rgb="FFA9D18E"/>
      <color rgb="FFCCECFF"/>
      <color rgb="FFE9617B"/>
      <color rgb="FF5EA3A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microsoft.com/office/2017/10/relationships/person" Target="persons/perso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'Figura 1'!$D$22</c:f>
              <c:strCache>
                <c:ptCount val="1"/>
                <c:pt idx="0">
                  <c:v>PGU</c:v>
                </c:pt>
              </c:strCache>
            </c:strRef>
          </c:tx>
          <c:spPr>
            <a:solidFill>
              <a:srgbClr val="FFC000"/>
            </a:solidFill>
            <a:ln>
              <a:noFill/>
            </a:ln>
            <a:effectLst/>
          </c:spPr>
          <c:invertIfNegative val="0"/>
          <c:cat>
            <c:numRef>
              <c:f>'Figura 1'!$C$23:$C$40</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1'!$D$23:$D$40</c:f>
              <c:numCache>
                <c:formatCode>_-* #,##0_-;\-* #,##0_-;_-* "-"??_-;_-@_-</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1767717</c:v>
                </c:pt>
                <c:pt idx="15">
                  <c:v>1980698</c:v>
                </c:pt>
                <c:pt idx="16">
                  <c:v>2115774</c:v>
                </c:pt>
                <c:pt idx="17">
                  <c:v>2243121</c:v>
                </c:pt>
              </c:numCache>
            </c:numRef>
          </c:val>
          <c:extLst>
            <c:ext xmlns:c16="http://schemas.microsoft.com/office/drawing/2014/chart" uri="{C3380CC4-5D6E-409C-BE32-E72D297353CC}">
              <c16:uniqueId val="{00000000-EC3F-4065-BD15-3DBB8A699DFE}"/>
            </c:ext>
          </c:extLst>
        </c:ser>
        <c:ser>
          <c:idx val="1"/>
          <c:order val="1"/>
          <c:tx>
            <c:strRef>
              <c:f>'Figura 1'!$E$22</c:f>
              <c:strCache>
                <c:ptCount val="1"/>
                <c:pt idx="0">
                  <c:v>PBS Vejez</c:v>
                </c:pt>
              </c:strCache>
            </c:strRef>
          </c:tx>
          <c:spPr>
            <a:solidFill>
              <a:srgbClr val="FD625E"/>
            </a:solidFill>
            <a:ln>
              <a:noFill/>
            </a:ln>
            <a:effectLst/>
          </c:spPr>
          <c:invertIfNegative val="0"/>
          <c:cat>
            <c:numRef>
              <c:f>'Figura 1'!$C$23:$C$40</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1'!$E$23:$E$40</c:f>
              <c:numCache>
                <c:formatCode>_-* #,##0_-;\-* #,##0_-;_-* "-"??_-;_-@_-</c:formatCode>
                <c:ptCount val="18"/>
                <c:pt idx="0">
                  <c:v>358445</c:v>
                </c:pt>
                <c:pt idx="1">
                  <c:v>398828</c:v>
                </c:pt>
                <c:pt idx="2">
                  <c:v>407118</c:v>
                </c:pt>
                <c:pt idx="3">
                  <c:v>405116</c:v>
                </c:pt>
                <c:pt idx="4">
                  <c:v>406123</c:v>
                </c:pt>
                <c:pt idx="5">
                  <c:v>400768</c:v>
                </c:pt>
                <c:pt idx="6">
                  <c:v>401656</c:v>
                </c:pt>
                <c:pt idx="7">
                  <c:v>399514</c:v>
                </c:pt>
                <c:pt idx="8">
                  <c:v>398651</c:v>
                </c:pt>
                <c:pt idx="9">
                  <c:v>399510</c:v>
                </c:pt>
                <c:pt idx="10">
                  <c:v>404348</c:v>
                </c:pt>
                <c:pt idx="11">
                  <c:v>407066</c:v>
                </c:pt>
                <c:pt idx="12">
                  <c:v>407108</c:v>
                </c:pt>
                <c:pt idx="13">
                  <c:v>413523</c:v>
                </c:pt>
                <c:pt idx="14">
                  <c:v>0</c:v>
                </c:pt>
                <c:pt idx="15">
                  <c:v>0</c:v>
                </c:pt>
                <c:pt idx="16">
                  <c:v>0</c:v>
                </c:pt>
                <c:pt idx="17">
                  <c:v>0</c:v>
                </c:pt>
              </c:numCache>
            </c:numRef>
          </c:val>
          <c:extLst>
            <c:ext xmlns:c16="http://schemas.microsoft.com/office/drawing/2014/chart" uri="{C3380CC4-5D6E-409C-BE32-E72D297353CC}">
              <c16:uniqueId val="{00000001-EC3F-4065-BD15-3DBB8A699DFE}"/>
            </c:ext>
          </c:extLst>
        </c:ser>
        <c:ser>
          <c:idx val="2"/>
          <c:order val="2"/>
          <c:tx>
            <c:strRef>
              <c:f>'Figura 1'!$F$22</c:f>
              <c:strCache>
                <c:ptCount val="1"/>
                <c:pt idx="0">
                  <c:v>APS Vejez</c:v>
                </c:pt>
              </c:strCache>
            </c:strRef>
          </c:tx>
          <c:spPr>
            <a:solidFill>
              <a:srgbClr val="2D3D43"/>
            </a:solidFill>
            <a:ln>
              <a:noFill/>
            </a:ln>
            <a:effectLst/>
          </c:spPr>
          <c:invertIfNegative val="0"/>
          <c:cat>
            <c:numRef>
              <c:f>'Figura 1'!$C$23:$C$40</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1'!$F$23:$F$40</c:f>
              <c:numCache>
                <c:formatCode>_-* #,##0_-;\-* #,##0_-;_-* "-"??_-;_-@_-</c:formatCode>
                <c:ptCount val="18"/>
                <c:pt idx="0">
                  <c:v>4485</c:v>
                </c:pt>
                <c:pt idx="1">
                  <c:v>237978</c:v>
                </c:pt>
                <c:pt idx="2">
                  <c:v>370216</c:v>
                </c:pt>
                <c:pt idx="3">
                  <c:v>436791</c:v>
                </c:pt>
                <c:pt idx="4">
                  <c:v>539888</c:v>
                </c:pt>
                <c:pt idx="5">
                  <c:v>586883</c:v>
                </c:pt>
                <c:pt idx="6">
                  <c:v>635745</c:v>
                </c:pt>
                <c:pt idx="7">
                  <c:v>686489</c:v>
                </c:pt>
                <c:pt idx="8">
                  <c:v>725754</c:v>
                </c:pt>
                <c:pt idx="9">
                  <c:v>774083</c:v>
                </c:pt>
                <c:pt idx="10">
                  <c:v>853431</c:v>
                </c:pt>
                <c:pt idx="11">
                  <c:v>914029</c:v>
                </c:pt>
                <c:pt idx="12">
                  <c:v>1034956</c:v>
                </c:pt>
                <c:pt idx="13">
                  <c:v>1147603</c:v>
                </c:pt>
                <c:pt idx="14">
                  <c:v>172179</c:v>
                </c:pt>
                <c:pt idx="15">
                  <c:v>166187</c:v>
                </c:pt>
                <c:pt idx="16">
                  <c:v>159353</c:v>
                </c:pt>
                <c:pt idx="17">
                  <c:v>153457</c:v>
                </c:pt>
              </c:numCache>
            </c:numRef>
          </c:val>
          <c:extLst>
            <c:ext xmlns:c16="http://schemas.microsoft.com/office/drawing/2014/chart" uri="{C3380CC4-5D6E-409C-BE32-E72D297353CC}">
              <c16:uniqueId val="{00000002-EC3F-4065-BD15-3DBB8A699DFE}"/>
            </c:ext>
          </c:extLst>
        </c:ser>
        <c:ser>
          <c:idx val="3"/>
          <c:order val="3"/>
          <c:tx>
            <c:strRef>
              <c:f>'Figura 1'!$G$22</c:f>
              <c:strCache>
                <c:ptCount val="1"/>
                <c:pt idx="0">
                  <c:v>APS Invalidez</c:v>
                </c:pt>
              </c:strCache>
            </c:strRef>
          </c:tx>
          <c:spPr>
            <a:solidFill>
              <a:schemeClr val="bg1">
                <a:lumMod val="85000"/>
              </a:schemeClr>
            </a:solidFill>
            <a:ln>
              <a:noFill/>
            </a:ln>
            <a:effectLst/>
          </c:spPr>
          <c:invertIfNegative val="0"/>
          <c:cat>
            <c:numRef>
              <c:f>'Figura 1'!$C$23:$C$40</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1'!$G$23:$G$40</c:f>
              <c:numCache>
                <c:formatCode>_-* #,##0_-;\-* #,##0_-;_-* "-"??_-;_-@_-</c:formatCode>
                <c:ptCount val="18"/>
                <c:pt idx="0">
                  <c:v>700</c:v>
                </c:pt>
                <c:pt idx="1">
                  <c:v>8766</c:v>
                </c:pt>
                <c:pt idx="2">
                  <c:v>17371</c:v>
                </c:pt>
                <c:pt idx="3">
                  <c:v>25904</c:v>
                </c:pt>
                <c:pt idx="4">
                  <c:v>40164</c:v>
                </c:pt>
                <c:pt idx="5">
                  <c:v>54475</c:v>
                </c:pt>
                <c:pt idx="6">
                  <c:v>62681</c:v>
                </c:pt>
                <c:pt idx="7">
                  <c:v>65127</c:v>
                </c:pt>
                <c:pt idx="8">
                  <c:v>64883</c:v>
                </c:pt>
                <c:pt idx="9">
                  <c:v>64441</c:v>
                </c:pt>
                <c:pt idx="10">
                  <c:v>66902</c:v>
                </c:pt>
                <c:pt idx="11">
                  <c:v>68332</c:v>
                </c:pt>
                <c:pt idx="12">
                  <c:v>72694</c:v>
                </c:pt>
                <c:pt idx="13">
                  <c:v>84750</c:v>
                </c:pt>
                <c:pt idx="14">
                  <c:v>92698</c:v>
                </c:pt>
                <c:pt idx="15">
                  <c:v>97569</c:v>
                </c:pt>
                <c:pt idx="16">
                  <c:v>100480</c:v>
                </c:pt>
                <c:pt idx="17">
                  <c:v>104699</c:v>
                </c:pt>
              </c:numCache>
            </c:numRef>
          </c:val>
          <c:extLst>
            <c:ext xmlns:c16="http://schemas.microsoft.com/office/drawing/2014/chart" uri="{C3380CC4-5D6E-409C-BE32-E72D297353CC}">
              <c16:uniqueId val="{00000003-EC3F-4065-BD15-3DBB8A699DFE}"/>
            </c:ext>
          </c:extLst>
        </c:ser>
        <c:ser>
          <c:idx val="4"/>
          <c:order val="4"/>
          <c:tx>
            <c:strRef>
              <c:f>'Figura 1'!$H$22</c:f>
              <c:strCache>
                <c:ptCount val="1"/>
                <c:pt idx="0">
                  <c:v>PBS Invalidez</c:v>
                </c:pt>
              </c:strCache>
            </c:strRef>
          </c:tx>
          <c:spPr>
            <a:solidFill>
              <a:srgbClr val="009999"/>
            </a:solidFill>
            <a:ln>
              <a:noFill/>
            </a:ln>
            <a:effectLst/>
          </c:spPr>
          <c:invertIfNegative val="0"/>
          <c:cat>
            <c:numRef>
              <c:f>'Figura 1'!$C$23:$C$40</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1'!$H$23:$H$40</c:f>
              <c:numCache>
                <c:formatCode>_-* #,##0_-;\-* #,##0_-;_-* "-"??_-;_-@_-</c:formatCode>
                <c:ptCount val="18"/>
                <c:pt idx="0">
                  <c:v>194451</c:v>
                </c:pt>
                <c:pt idx="1">
                  <c:v>212205</c:v>
                </c:pt>
                <c:pt idx="2">
                  <c:v>216390</c:v>
                </c:pt>
                <c:pt idx="3">
                  <c:v>213801</c:v>
                </c:pt>
                <c:pt idx="4">
                  <c:v>194854</c:v>
                </c:pt>
                <c:pt idx="5">
                  <c:v>186782</c:v>
                </c:pt>
                <c:pt idx="6">
                  <c:v>181546</c:v>
                </c:pt>
                <c:pt idx="7">
                  <c:v>179778</c:v>
                </c:pt>
                <c:pt idx="8">
                  <c:v>181321</c:v>
                </c:pt>
                <c:pt idx="9">
                  <c:v>182304</c:v>
                </c:pt>
                <c:pt idx="10">
                  <c:v>182911</c:v>
                </c:pt>
                <c:pt idx="11">
                  <c:v>181957</c:v>
                </c:pt>
                <c:pt idx="12">
                  <c:v>181176</c:v>
                </c:pt>
                <c:pt idx="13">
                  <c:v>182087</c:v>
                </c:pt>
                <c:pt idx="14">
                  <c:v>185584</c:v>
                </c:pt>
                <c:pt idx="15">
                  <c:v>192805</c:v>
                </c:pt>
                <c:pt idx="16">
                  <c:v>200026</c:v>
                </c:pt>
                <c:pt idx="17">
                  <c:v>204470</c:v>
                </c:pt>
              </c:numCache>
            </c:numRef>
          </c:val>
          <c:extLst>
            <c:ext xmlns:c16="http://schemas.microsoft.com/office/drawing/2014/chart" uri="{C3380CC4-5D6E-409C-BE32-E72D297353CC}">
              <c16:uniqueId val="{00000004-EC3F-4065-BD15-3DBB8A699DFE}"/>
            </c:ext>
          </c:extLst>
        </c:ser>
        <c:dLbls>
          <c:showLegendKey val="0"/>
          <c:showVal val="0"/>
          <c:showCatName val="0"/>
          <c:showSerName val="0"/>
          <c:showPercent val="0"/>
          <c:showBubbleSize val="0"/>
        </c:dLbls>
        <c:gapWidth val="150"/>
        <c:overlap val="100"/>
        <c:axId val="797937400"/>
        <c:axId val="797938480"/>
      </c:barChart>
      <c:catAx>
        <c:axId val="797937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97938480"/>
        <c:crosses val="autoZero"/>
        <c:auto val="1"/>
        <c:lblAlgn val="ctr"/>
        <c:lblOffset val="100"/>
        <c:noMultiLvlLbl val="0"/>
      </c:catAx>
      <c:valAx>
        <c:axId val="797938480"/>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979374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sz="1000">
                <a:latin typeface="Calibri Light" panose="020F0302020204030204" pitchFamily="34" charset="0"/>
                <a:cs typeface="Calibri Light" panose="020F0302020204030204" pitchFamily="34" charset="0"/>
              </a:rPr>
              <a:t>PBS</a:t>
            </a:r>
            <a:r>
              <a:rPr lang="es-CL" sz="1000" baseline="0">
                <a:latin typeface="Calibri Light" panose="020F0302020204030204" pitchFamily="34" charset="0"/>
                <a:cs typeface="Calibri Light" panose="020F0302020204030204" pitchFamily="34" charset="0"/>
              </a:rPr>
              <a:t> Invalidez</a:t>
            </a:r>
            <a:endParaRPr lang="es-CL" sz="1000">
              <a:latin typeface="Calibri Light" panose="020F0302020204030204" pitchFamily="34" charset="0"/>
              <a:cs typeface="Calibri Light" panose="020F03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pieChart>
        <c:varyColors val="1"/>
        <c:ser>
          <c:idx val="0"/>
          <c:order val="0"/>
          <c:spPr>
            <a:solidFill>
              <a:srgbClr val="006666"/>
            </a:solidFill>
          </c:spPr>
          <c:dPt>
            <c:idx val="0"/>
            <c:bubble3D val="0"/>
            <c:spPr>
              <a:solidFill>
                <a:srgbClr val="2D3D43"/>
              </a:solidFill>
              <a:ln w="19050">
                <a:solidFill>
                  <a:schemeClr val="lt1"/>
                </a:solidFill>
              </a:ln>
              <a:effectLst/>
            </c:spPr>
            <c:extLst>
              <c:ext xmlns:c16="http://schemas.microsoft.com/office/drawing/2014/chart" uri="{C3380CC4-5D6E-409C-BE32-E72D297353CC}">
                <c16:uniqueId val="{00000001-D72E-4375-AA5C-6AC43F490F50}"/>
              </c:ext>
            </c:extLst>
          </c:dPt>
          <c:dPt>
            <c:idx val="1"/>
            <c:bubble3D val="0"/>
            <c:spPr>
              <a:solidFill>
                <a:srgbClr val="FD625E"/>
              </a:solidFill>
              <a:ln w="19050">
                <a:solidFill>
                  <a:schemeClr val="lt1"/>
                </a:solidFill>
              </a:ln>
              <a:effectLst/>
            </c:spPr>
            <c:extLst>
              <c:ext xmlns:c16="http://schemas.microsoft.com/office/drawing/2014/chart" uri="{C3380CC4-5D6E-409C-BE32-E72D297353CC}">
                <c16:uniqueId val="{00000003-D72E-4375-AA5C-6AC43F490F50}"/>
              </c:ext>
            </c:extLst>
          </c:dPt>
          <c:dLbls>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72E-4375-AA5C-6AC43F490F5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dLblPos val="ct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3'!$M$27:$N$27</c:f>
              <c:strCache>
                <c:ptCount val="2"/>
                <c:pt idx="0">
                  <c:v>Hombres</c:v>
                </c:pt>
                <c:pt idx="1">
                  <c:v>Mujeres</c:v>
                </c:pt>
              </c:strCache>
            </c:strRef>
          </c:cat>
          <c:val>
            <c:numRef>
              <c:f>'Figura 3'!$M$44:$N$44</c:f>
              <c:numCache>
                <c:formatCode>_-* #,##0_-;\-* #,##0_-;_-* "-"??_-;_-@_-</c:formatCode>
                <c:ptCount val="2"/>
                <c:pt idx="0">
                  <c:v>88198</c:v>
                </c:pt>
                <c:pt idx="1">
                  <c:v>111828</c:v>
                </c:pt>
              </c:numCache>
            </c:numRef>
          </c:val>
          <c:extLst>
            <c:ext xmlns:c16="http://schemas.microsoft.com/office/drawing/2014/chart" uri="{C3380CC4-5D6E-409C-BE32-E72D297353CC}">
              <c16:uniqueId val="{00000004-D72E-4375-AA5C-6AC43F490F50}"/>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alibri Light" panose="020F0302020204030204" pitchFamily="34" charset="0"/>
              <a:ea typeface="+mn-ea"/>
              <a:cs typeface="Calibri Light" panose="020F0302020204030204" pitchFamily="34" charset="0"/>
            </a:defRPr>
          </a:pPr>
          <a:endParaRPr lang="es-CL"/>
        </a:p>
      </c:txPr>
    </c:legend>
    <c:plotVisOnly val="1"/>
    <c:dispBlanksAs val="gap"/>
    <c:showDLblsOverMax val="0"/>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sz="1000">
                <a:latin typeface="Calibri Light" panose="020F0302020204030204" pitchFamily="34" charset="0"/>
                <a:cs typeface="Calibri Light" panose="020F0302020204030204" pitchFamily="34" charset="0"/>
              </a:rPr>
              <a:t>APS vejez</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pieChart>
        <c:varyColors val="1"/>
        <c:ser>
          <c:idx val="0"/>
          <c:order val="0"/>
          <c:spPr>
            <a:solidFill>
              <a:srgbClr val="FFC000"/>
            </a:solidFill>
          </c:spPr>
          <c:dPt>
            <c:idx val="0"/>
            <c:bubble3D val="0"/>
            <c:explosion val="4"/>
            <c:spPr>
              <a:solidFill>
                <a:srgbClr val="2D3D43"/>
              </a:solidFill>
              <a:ln>
                <a:noFill/>
              </a:ln>
              <a:effectLst/>
            </c:spPr>
            <c:extLst>
              <c:ext xmlns:c16="http://schemas.microsoft.com/office/drawing/2014/chart" uri="{C3380CC4-5D6E-409C-BE32-E72D297353CC}">
                <c16:uniqueId val="{00000001-7FCB-4C90-B828-3B3136E851FB}"/>
              </c:ext>
            </c:extLst>
          </c:dPt>
          <c:dPt>
            <c:idx val="1"/>
            <c:bubble3D val="0"/>
            <c:spPr>
              <a:solidFill>
                <a:srgbClr val="FD625E"/>
              </a:solidFill>
              <a:ln>
                <a:noFill/>
              </a:ln>
              <a:effectLst/>
            </c:spPr>
            <c:extLst>
              <c:ext xmlns:c16="http://schemas.microsoft.com/office/drawing/2014/chart" uri="{C3380CC4-5D6E-409C-BE32-E72D297353CC}">
                <c16:uniqueId val="{00000003-7FCB-4C90-B828-3B3136E851FB}"/>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FCB-4C90-B828-3B3136E851FB}"/>
                </c:ext>
              </c:extLst>
            </c:dLbl>
            <c:dLbl>
              <c:idx val="1"/>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FCB-4C90-B828-3B3136E851FB}"/>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L"/>
              </a:p>
            </c:txPr>
            <c:dLblPos val="ct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3'!$C$27:$D$27</c:f>
              <c:strCache>
                <c:ptCount val="2"/>
                <c:pt idx="0">
                  <c:v>Hombres</c:v>
                </c:pt>
                <c:pt idx="1">
                  <c:v>Mujeres</c:v>
                </c:pt>
              </c:strCache>
            </c:strRef>
          </c:cat>
          <c:val>
            <c:numRef>
              <c:f>'Figura 3'!$C$44:$D$44</c:f>
              <c:numCache>
                <c:formatCode>_-* #,##0_-;\-* #,##0_-;_-* "-"??_-;_-@_-</c:formatCode>
                <c:ptCount val="2"/>
                <c:pt idx="0">
                  <c:v>56788</c:v>
                </c:pt>
                <c:pt idx="1">
                  <c:v>102565</c:v>
                </c:pt>
              </c:numCache>
            </c:numRef>
          </c:val>
          <c:extLst>
            <c:ext xmlns:c16="http://schemas.microsoft.com/office/drawing/2014/chart" uri="{C3380CC4-5D6E-409C-BE32-E72D297353CC}">
              <c16:uniqueId val="{00000004-7FCB-4C90-B828-3B3136E851FB}"/>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alibri Light" panose="020F0302020204030204" pitchFamily="34" charset="0"/>
              <a:ea typeface="+mn-ea"/>
              <a:cs typeface="Calibri Light" panose="020F0302020204030204" pitchFamily="34" charset="0"/>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Light" panose="020F0302020204030204" pitchFamily="34" charset="0"/>
                <a:ea typeface="+mn-ea"/>
                <a:cs typeface="Calibri Light" panose="020F0302020204030204" pitchFamily="34" charset="0"/>
              </a:defRPr>
            </a:pPr>
            <a:r>
              <a:rPr lang="es-CL" sz="1000">
                <a:latin typeface="Calibri Light" panose="020F0302020204030204" pitchFamily="34" charset="0"/>
                <a:cs typeface="Calibri Light" panose="020F0302020204030204" pitchFamily="34" charset="0"/>
              </a:rPr>
              <a:t>PGU</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Light" panose="020F0302020204030204" pitchFamily="34" charset="0"/>
              <a:ea typeface="+mn-ea"/>
              <a:cs typeface="Calibri Light" panose="020F0302020204030204" pitchFamily="34" charset="0"/>
            </a:defRPr>
          </a:pPr>
          <a:endParaRPr lang="es-CL"/>
        </a:p>
      </c:txPr>
    </c:title>
    <c:autoTitleDeleted val="0"/>
    <c:plotArea>
      <c:layout/>
      <c:pieChart>
        <c:varyColors val="1"/>
        <c:ser>
          <c:idx val="0"/>
          <c:order val="0"/>
          <c:spPr>
            <a:solidFill>
              <a:schemeClr val="accent4">
                <a:lumMod val="50000"/>
              </a:schemeClr>
            </a:solidFill>
          </c:spPr>
          <c:dPt>
            <c:idx val="0"/>
            <c:bubble3D val="0"/>
            <c:spPr>
              <a:solidFill>
                <a:srgbClr val="2D3D43"/>
              </a:solidFill>
              <a:ln w="19050">
                <a:solidFill>
                  <a:schemeClr val="lt1"/>
                </a:solidFill>
              </a:ln>
              <a:effectLst/>
            </c:spPr>
            <c:extLst>
              <c:ext xmlns:c16="http://schemas.microsoft.com/office/drawing/2014/chart" uri="{C3380CC4-5D6E-409C-BE32-E72D297353CC}">
                <c16:uniqueId val="{00000001-34C9-40DA-AD13-2175011433B7}"/>
              </c:ext>
            </c:extLst>
          </c:dPt>
          <c:dPt>
            <c:idx val="1"/>
            <c:bubble3D val="0"/>
            <c:spPr>
              <a:solidFill>
                <a:srgbClr val="FD625E"/>
              </a:solidFill>
              <a:ln w="19050">
                <a:solidFill>
                  <a:schemeClr val="lt1"/>
                </a:solidFill>
              </a:ln>
              <a:effectLst/>
            </c:spPr>
            <c:extLst>
              <c:ext xmlns:c16="http://schemas.microsoft.com/office/drawing/2014/chart" uri="{C3380CC4-5D6E-409C-BE32-E72D297353CC}">
                <c16:uniqueId val="{00000003-34C9-40DA-AD13-2175011433B7}"/>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4C9-40DA-AD13-2175011433B7}"/>
                </c:ext>
              </c:extLst>
            </c:dLbl>
            <c:dLbl>
              <c:idx val="1"/>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4C9-40DA-AD13-2175011433B7}"/>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L"/>
              </a:p>
            </c:txPr>
            <c:dLblPos val="ct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3'!$S$41:$T$41</c:f>
              <c:strCache>
                <c:ptCount val="2"/>
                <c:pt idx="0">
                  <c:v>Hombres</c:v>
                </c:pt>
                <c:pt idx="1">
                  <c:v>Mujeres</c:v>
                </c:pt>
              </c:strCache>
            </c:strRef>
          </c:cat>
          <c:val>
            <c:numRef>
              <c:f>'Figura 3'!$S$44:$T$44</c:f>
              <c:numCache>
                <c:formatCode>_-* #,##0_-;\-* #,##0_-;_-* "-"??_-;_-@_-</c:formatCode>
                <c:ptCount val="2"/>
                <c:pt idx="0">
                  <c:v>885599</c:v>
                </c:pt>
                <c:pt idx="1">
                  <c:v>1230175</c:v>
                </c:pt>
              </c:numCache>
            </c:numRef>
          </c:val>
          <c:extLst>
            <c:ext xmlns:c16="http://schemas.microsoft.com/office/drawing/2014/chart" uri="{C3380CC4-5D6E-409C-BE32-E72D297353CC}">
              <c16:uniqueId val="{00000004-34C9-40DA-AD13-2175011433B7}"/>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alibri Light" panose="020F0302020204030204" pitchFamily="34" charset="0"/>
              <a:ea typeface="+mn-ea"/>
              <a:cs typeface="Calibri Light" panose="020F0302020204030204" pitchFamily="34" charset="0"/>
            </a:defRPr>
          </a:pPr>
          <a:endParaRPr lang="es-CL"/>
        </a:p>
      </c:txPr>
    </c:legend>
    <c:plotVisOnly val="1"/>
    <c:dispBlanksAs val="gap"/>
    <c:showDLblsOverMax val="0"/>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'Figura 4'!$C$22</c:f>
              <c:strCache>
                <c:ptCount val="1"/>
                <c:pt idx="0">
                  <c:v>PBSV</c:v>
                </c:pt>
              </c:strCache>
            </c:strRef>
          </c:tx>
          <c:spPr>
            <a:solidFill>
              <a:srgbClr val="2D3D43"/>
            </a:solidFill>
            <a:ln>
              <a:noFill/>
            </a:ln>
            <a:effectLst/>
          </c:spPr>
          <c:invertIfNegative val="0"/>
          <c:cat>
            <c:numRef>
              <c:f>'Figura 4'!$B$23:$B$39</c:f>
              <c:numCache>
                <c:formatCode>General</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pt idx="16">
                  <c:v>2025</c:v>
                </c:pt>
              </c:numCache>
            </c:numRef>
          </c:cat>
          <c:val>
            <c:numRef>
              <c:f>'Figura 4'!$C$23:$C$39</c:f>
              <c:numCache>
                <c:formatCode>0.0%</c:formatCode>
                <c:ptCount val="17"/>
                <c:pt idx="0">
                  <c:v>0.23568399996454351</c:v>
                </c:pt>
                <c:pt idx="1">
                  <c:v>0.23353630379601611</c:v>
                </c:pt>
                <c:pt idx="2">
                  <c:v>0.2253511411740492</c:v>
                </c:pt>
                <c:pt idx="3">
                  <c:v>0.21884869794824124</c:v>
                </c:pt>
                <c:pt idx="4">
                  <c:v>0.20854010788961685</c:v>
                </c:pt>
                <c:pt idx="5">
                  <c:v>0.20162289827645494</c:v>
                </c:pt>
                <c:pt idx="6">
                  <c:v>0.19314403785973933</c:v>
                </c:pt>
                <c:pt idx="7">
                  <c:v>0.18547195083993714</c:v>
                </c:pt>
                <c:pt idx="8">
                  <c:v>0.17872273036760936</c:v>
                </c:pt>
                <c:pt idx="9">
                  <c:v>0.17405850392026373</c:v>
                </c:pt>
                <c:pt idx="10">
                  <c:v>0.16893558372721038</c:v>
                </c:pt>
                <c:pt idx="11">
                  <c:v>0.16401142054626694</c:v>
                </c:pt>
                <c:pt idx="12">
                  <c:v>0.16156391421609134</c:v>
                </c:pt>
                <c:pt idx="13">
                  <c:v>0</c:v>
                </c:pt>
                <c:pt idx="14">
                  <c:v>0</c:v>
                </c:pt>
                <c:pt idx="15">
                  <c:v>0</c:v>
                </c:pt>
                <c:pt idx="16">
                  <c:v>0</c:v>
                </c:pt>
              </c:numCache>
            </c:numRef>
          </c:val>
          <c:extLst>
            <c:ext xmlns:c16="http://schemas.microsoft.com/office/drawing/2014/chart" uri="{C3380CC4-5D6E-409C-BE32-E72D297353CC}">
              <c16:uniqueId val="{00000000-A9A2-43B8-97C4-C246C7528FD7}"/>
            </c:ext>
          </c:extLst>
        </c:ser>
        <c:ser>
          <c:idx val="1"/>
          <c:order val="1"/>
          <c:tx>
            <c:strRef>
              <c:f>'Figura 4'!$D$22</c:f>
              <c:strCache>
                <c:ptCount val="1"/>
                <c:pt idx="0">
                  <c:v>APSV</c:v>
                </c:pt>
              </c:strCache>
            </c:strRef>
          </c:tx>
          <c:spPr>
            <a:solidFill>
              <a:srgbClr val="FD625E"/>
            </a:solidFill>
            <a:ln>
              <a:noFill/>
            </a:ln>
            <a:effectLst/>
          </c:spPr>
          <c:invertIfNegative val="0"/>
          <c:cat>
            <c:numRef>
              <c:f>'Figura 4'!$B$23:$B$39</c:f>
              <c:numCache>
                <c:formatCode>General</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pt idx="16">
                  <c:v>2025</c:v>
                </c:pt>
              </c:numCache>
            </c:numRef>
          </c:cat>
          <c:val>
            <c:numRef>
              <c:f>'Figura 4'!$D$23:$D$39</c:f>
              <c:numCache>
                <c:formatCode>0.0%</c:formatCode>
                <c:ptCount val="17"/>
                <c:pt idx="0">
                  <c:v>0.14063106638340872</c:v>
                </c:pt>
                <c:pt idx="1">
                  <c:v>0.21236810027104158</c:v>
                </c:pt>
                <c:pt idx="2">
                  <c:v>0.24297077949168663</c:v>
                </c:pt>
                <c:pt idx="3">
                  <c:v>0.29093103773457812</c:v>
                </c:pt>
                <c:pt idx="4">
                  <c:v>0.3053852706268515</c:v>
                </c:pt>
                <c:pt idx="5">
                  <c:v>0.31913067267702921</c:v>
                </c:pt>
                <c:pt idx="6">
                  <c:v>0.33188137939169737</c:v>
                </c:pt>
                <c:pt idx="7">
                  <c:v>0.33765627129967751</c:v>
                </c:pt>
                <c:pt idx="8">
                  <c:v>0.34628977320004545</c:v>
                </c:pt>
                <c:pt idx="9">
                  <c:v>0.36737395278120477</c:v>
                </c:pt>
                <c:pt idx="10">
                  <c:v>0.37932920621864358</c:v>
                </c:pt>
                <c:pt idx="11">
                  <c:v>0.41695226761174492</c:v>
                </c:pt>
                <c:pt idx="12">
                  <c:v>0.44836981896080524</c:v>
                </c:pt>
                <c:pt idx="13">
                  <c:v>6.5178877650912043E-2</c:v>
                </c:pt>
                <c:pt idx="14">
                  <c:v>6.0602292419088516E-2</c:v>
                </c:pt>
                <c:pt idx="15">
                  <c:v>5.6006106958227997E-2</c:v>
                </c:pt>
                <c:pt idx="16">
                  <c:v>5.2023819008083748E-2</c:v>
                </c:pt>
              </c:numCache>
            </c:numRef>
          </c:val>
          <c:extLst>
            <c:ext xmlns:c16="http://schemas.microsoft.com/office/drawing/2014/chart" uri="{C3380CC4-5D6E-409C-BE32-E72D297353CC}">
              <c16:uniqueId val="{00000001-A9A2-43B8-97C4-C246C7528FD7}"/>
            </c:ext>
          </c:extLst>
        </c:ser>
        <c:ser>
          <c:idx val="2"/>
          <c:order val="2"/>
          <c:tx>
            <c:strRef>
              <c:f>'Figura 4'!$E$22</c:f>
              <c:strCache>
                <c:ptCount val="1"/>
                <c:pt idx="0">
                  <c:v>PGU</c:v>
                </c:pt>
              </c:strCache>
            </c:strRef>
          </c:tx>
          <c:spPr>
            <a:solidFill>
              <a:srgbClr val="FFC000"/>
            </a:solidFill>
            <a:ln>
              <a:noFill/>
            </a:ln>
            <a:effectLst/>
          </c:spPr>
          <c:invertIfNegative val="0"/>
          <c:cat>
            <c:numRef>
              <c:f>'Figura 4'!$B$23:$B$39</c:f>
              <c:numCache>
                <c:formatCode>General</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pt idx="16">
                  <c:v>2025</c:v>
                </c:pt>
              </c:numCache>
            </c:numRef>
          </c:cat>
          <c:val>
            <c:numRef>
              <c:f>'Figura 4'!$E$23:$E$39</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0.66917458031721222</c:v>
                </c:pt>
                <c:pt idx="14">
                  <c:v>0.72228778057190868</c:v>
                </c:pt>
                <c:pt idx="15">
                  <c:v>0.74360862326682198</c:v>
                </c:pt>
                <c:pt idx="16">
                  <c:v>0.76044573344475541</c:v>
                </c:pt>
              </c:numCache>
            </c:numRef>
          </c:val>
          <c:extLst>
            <c:ext xmlns:c16="http://schemas.microsoft.com/office/drawing/2014/chart" uri="{C3380CC4-5D6E-409C-BE32-E72D297353CC}">
              <c16:uniqueId val="{00000002-A9A2-43B8-97C4-C246C7528FD7}"/>
            </c:ext>
          </c:extLst>
        </c:ser>
        <c:dLbls>
          <c:showLegendKey val="0"/>
          <c:showVal val="0"/>
          <c:showCatName val="0"/>
          <c:showSerName val="0"/>
          <c:showPercent val="0"/>
          <c:showBubbleSize val="0"/>
        </c:dLbls>
        <c:gapWidth val="110"/>
        <c:overlap val="100"/>
        <c:axId val="-1319860496"/>
        <c:axId val="-1323869824"/>
      </c:barChart>
      <c:catAx>
        <c:axId val="-1319860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Light" panose="020F0302020204030204" pitchFamily="34" charset="0"/>
                <a:ea typeface="+mn-ea"/>
                <a:cs typeface="Calibri Light" panose="020F0302020204030204" pitchFamily="34" charset="0"/>
              </a:defRPr>
            </a:pPr>
            <a:endParaRPr lang="es-CL"/>
          </a:p>
        </c:txPr>
        <c:crossAx val="-1323869824"/>
        <c:crosses val="autoZero"/>
        <c:auto val="1"/>
        <c:lblAlgn val="ctr"/>
        <c:lblOffset val="100"/>
        <c:noMultiLvlLbl val="0"/>
      </c:catAx>
      <c:valAx>
        <c:axId val="-13238698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319860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'Figura 5'!$C$21</c:f>
              <c:strCache>
                <c:ptCount val="1"/>
                <c:pt idx="0">
                  <c:v>En millones de pesos de 2025</c:v>
                </c:pt>
              </c:strCache>
            </c:strRef>
          </c:tx>
          <c:spPr>
            <a:solidFill>
              <a:srgbClr val="006666"/>
            </a:solidFill>
            <a:ln>
              <a:noFill/>
            </a:ln>
            <a:effectLst/>
          </c:spPr>
          <c:invertIfNegative val="0"/>
          <c:cat>
            <c:numRef>
              <c:f>'Figura 5'!$B$22:$B$39</c:f>
              <c:numCache>
                <c:formatCode>0_ ;\-0\ </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5'!$C$22:$C$39</c:f>
              <c:numCache>
                <c:formatCode>_("$"* #,##0_);_("$"* \(#,##0\);_("$"* "-"_);_(@_)</c:formatCode>
                <c:ptCount val="18"/>
                <c:pt idx="0">
                  <c:v>366980.16891042632</c:v>
                </c:pt>
                <c:pt idx="1">
                  <c:v>994540.1410692198</c:v>
                </c:pt>
                <c:pt idx="2">
                  <c:v>1321092.4913916036</c:v>
                </c:pt>
                <c:pt idx="3">
                  <c:v>1485354.2364942771</c:v>
                </c:pt>
                <c:pt idx="4">
                  <c:v>1595521.7855966873</c:v>
                </c:pt>
                <c:pt idx="5">
                  <c:v>1664462.4260138352</c:v>
                </c:pt>
                <c:pt idx="6">
                  <c:v>1709944.2670263681</c:v>
                </c:pt>
                <c:pt idx="7">
                  <c:v>1778174.8234969608</c:v>
                </c:pt>
                <c:pt idx="8">
                  <c:v>1844312.4972324159</c:v>
                </c:pt>
                <c:pt idx="9">
                  <c:v>2107355.6443631337</c:v>
                </c:pt>
                <c:pt idx="10">
                  <c:v>2215806.9750174964</c:v>
                </c:pt>
                <c:pt idx="11">
                  <c:v>2405703.7101461906</c:v>
                </c:pt>
                <c:pt idx="12">
                  <c:v>3374222.9769143681</c:v>
                </c:pt>
                <c:pt idx="13">
                  <c:v>3963323.8958262005</c:v>
                </c:pt>
                <c:pt idx="14">
                  <c:v>5363799.0942391101</c:v>
                </c:pt>
                <c:pt idx="15">
                  <c:v>6327168.335714872</c:v>
                </c:pt>
                <c:pt idx="16">
                  <c:v>6744591.8760332363</c:v>
                </c:pt>
                <c:pt idx="17">
                  <c:v>7154522.6211330201</c:v>
                </c:pt>
              </c:numCache>
            </c:numRef>
          </c:val>
          <c:extLst>
            <c:ext xmlns:c16="http://schemas.microsoft.com/office/drawing/2014/chart" uri="{C3380CC4-5D6E-409C-BE32-E72D297353CC}">
              <c16:uniqueId val="{00000000-9DCE-4642-A43E-0F09E113F313}"/>
            </c:ext>
          </c:extLst>
        </c:ser>
        <c:dLbls>
          <c:showLegendKey val="0"/>
          <c:showVal val="0"/>
          <c:showCatName val="0"/>
          <c:showSerName val="0"/>
          <c:showPercent val="0"/>
          <c:showBubbleSize val="0"/>
        </c:dLbls>
        <c:gapWidth val="131"/>
        <c:overlap val="-27"/>
        <c:axId val="973336192"/>
        <c:axId val="973342312"/>
      </c:barChart>
      <c:lineChart>
        <c:grouping val="standard"/>
        <c:varyColors val="0"/>
        <c:ser>
          <c:idx val="1"/>
          <c:order val="1"/>
          <c:tx>
            <c:strRef>
              <c:f>'Figura 5'!$D$21</c:f>
              <c:strCache>
                <c:ptCount val="1"/>
                <c:pt idx="0">
                  <c:v>% del PIB</c:v>
                </c:pt>
              </c:strCache>
            </c:strRef>
          </c:tx>
          <c:spPr>
            <a:ln w="28575" cap="rnd">
              <a:solidFill>
                <a:srgbClr val="FFC000"/>
              </a:solidFill>
              <a:round/>
            </a:ln>
            <a:effectLst/>
          </c:spPr>
          <c:marker>
            <c:symbol val="none"/>
          </c:marker>
          <c:cat>
            <c:numRef>
              <c:f>'Figura 5'!$B$22:$B$39</c:f>
              <c:numCache>
                <c:formatCode>0_ ;\-0\ </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5'!$D$22:$D$39</c:f>
              <c:numCache>
                <c:formatCode>0.00%</c:formatCode>
                <c:ptCount val="18"/>
                <c:pt idx="0">
                  <c:v>2.0130867473433628E-3</c:v>
                </c:pt>
                <c:pt idx="1">
                  <c:v>5.4774924170145232E-3</c:v>
                </c:pt>
                <c:pt idx="2">
                  <c:v>6.3638857369463205E-3</c:v>
                </c:pt>
                <c:pt idx="3">
                  <c:v>6.7310747730596841E-3</c:v>
                </c:pt>
                <c:pt idx="4">
                  <c:v>6.992282925833238E-3</c:v>
                </c:pt>
                <c:pt idx="5">
                  <c:v>7.0214338774907594E-3</c:v>
                </c:pt>
                <c:pt idx="6">
                  <c:v>6.979837809028837E-3</c:v>
                </c:pt>
                <c:pt idx="7">
                  <c:v>7.0699270574187479E-3</c:v>
                </c:pt>
                <c:pt idx="8">
                  <c:v>7.1678560609699767E-3</c:v>
                </c:pt>
                <c:pt idx="9">
                  <c:v>7.8709813163413793E-3</c:v>
                </c:pt>
                <c:pt idx="10">
                  <c:v>8.0089957052014386E-3</c:v>
                </c:pt>
                <c:pt idx="11">
                  <c:v>8.637797261648119E-3</c:v>
                </c:pt>
                <c:pt idx="12">
                  <c:v>1.2118999945376043E-2</c:v>
                </c:pt>
                <c:pt idx="13">
                  <c:v>1.2435004366642983E-2</c:v>
                </c:pt>
                <c:pt idx="14">
                  <c:v>1.6983492983589442E-2</c:v>
                </c:pt>
                <c:pt idx="15">
                  <c:v>2.0354357365197768E-2</c:v>
                </c:pt>
                <c:pt idx="16">
                  <c:v>2.0460961625322637E-2</c:v>
                </c:pt>
                <c:pt idx="17">
                  <c:v>2.1047775159991507E-2</c:v>
                </c:pt>
              </c:numCache>
            </c:numRef>
          </c:val>
          <c:smooth val="0"/>
          <c:extLst>
            <c:ext xmlns:c16="http://schemas.microsoft.com/office/drawing/2014/chart" uri="{C3380CC4-5D6E-409C-BE32-E72D297353CC}">
              <c16:uniqueId val="{00000001-9DCE-4642-A43E-0F09E113F313}"/>
            </c:ext>
          </c:extLst>
        </c:ser>
        <c:dLbls>
          <c:showLegendKey val="0"/>
          <c:showVal val="0"/>
          <c:showCatName val="0"/>
          <c:showSerName val="0"/>
          <c:showPercent val="0"/>
          <c:showBubbleSize val="0"/>
        </c:dLbls>
        <c:marker val="1"/>
        <c:smooth val="0"/>
        <c:axId val="973342672"/>
        <c:axId val="973333672"/>
      </c:lineChart>
      <c:catAx>
        <c:axId val="973336192"/>
        <c:scaling>
          <c:orientation val="minMax"/>
        </c:scaling>
        <c:delete val="0"/>
        <c:axPos val="b"/>
        <c:numFmt formatCode="0_ ;\-0\ "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Light" panose="020F0302020204030204" pitchFamily="34" charset="0"/>
                <a:ea typeface="+mn-ea"/>
                <a:cs typeface="Calibri Light" panose="020F0302020204030204" pitchFamily="34" charset="0"/>
              </a:defRPr>
            </a:pPr>
            <a:endParaRPr lang="es-CL"/>
          </a:p>
        </c:txPr>
        <c:crossAx val="973342312"/>
        <c:crosses val="autoZero"/>
        <c:auto val="1"/>
        <c:lblAlgn val="ctr"/>
        <c:lblOffset val="100"/>
        <c:noMultiLvlLbl val="0"/>
      </c:catAx>
      <c:valAx>
        <c:axId val="97334231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973336192"/>
        <c:crosses val="autoZero"/>
        <c:crossBetween val="between"/>
      </c:valAx>
      <c:valAx>
        <c:axId val="973333672"/>
        <c:scaling>
          <c:orientation val="minMax"/>
        </c:scaling>
        <c:delete val="0"/>
        <c:axPos val="r"/>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973342672"/>
        <c:crosses val="max"/>
        <c:crossBetween val="between"/>
      </c:valAx>
      <c:catAx>
        <c:axId val="973342672"/>
        <c:scaling>
          <c:orientation val="minMax"/>
        </c:scaling>
        <c:delete val="1"/>
        <c:axPos val="b"/>
        <c:numFmt formatCode="0_ ;\-0\ " sourceLinked="1"/>
        <c:majorTickMark val="none"/>
        <c:minorTickMark val="none"/>
        <c:tickLblPos val="nextTo"/>
        <c:crossAx val="97333367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'Figura 6'!$F$21</c:f>
              <c:strCache>
                <c:ptCount val="1"/>
                <c:pt idx="0">
                  <c:v>% Vejez</c:v>
                </c:pt>
              </c:strCache>
            </c:strRef>
          </c:tx>
          <c:spPr>
            <a:solidFill>
              <a:srgbClr val="006666"/>
            </a:solidFill>
            <a:ln>
              <a:noFill/>
            </a:ln>
            <a:effectLst/>
          </c:spPr>
          <c:invertIfNegative val="0"/>
          <c:dLbls>
            <c:numFmt formatCode="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'Figura 6'!$B$22:$B$39</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6'!$F$22:$F$39</c:f>
              <c:numCache>
                <c:formatCode>0.0%</c:formatCode>
                <c:ptCount val="18"/>
                <c:pt idx="0">
                  <c:v>0.63576439317687261</c:v>
                </c:pt>
                <c:pt idx="1">
                  <c:v>0.65252262288661</c:v>
                </c:pt>
                <c:pt idx="2">
                  <c:v>0.69295283680749964</c:v>
                </c:pt>
                <c:pt idx="3">
                  <c:v>0.72282180587664646</c:v>
                </c:pt>
                <c:pt idx="4">
                  <c:v>0.74182279935141426</c:v>
                </c:pt>
                <c:pt idx="5">
                  <c:v>0.75337186350761709</c:v>
                </c:pt>
                <c:pt idx="6">
                  <c:v>0.76020338641993868</c:v>
                </c:pt>
                <c:pt idx="7">
                  <c:v>0.76837831748557839</c:v>
                </c:pt>
                <c:pt idx="8">
                  <c:v>0.77467011183907108</c:v>
                </c:pt>
                <c:pt idx="9">
                  <c:v>0.78119826937706272</c:v>
                </c:pt>
                <c:pt idx="10">
                  <c:v>0.79065918090764364</c:v>
                </c:pt>
                <c:pt idx="11">
                  <c:v>0.80243514130488958</c:v>
                </c:pt>
                <c:pt idx="12">
                  <c:v>0.82926083983727494</c:v>
                </c:pt>
                <c:pt idx="13">
                  <c:v>0.83638536963211862</c:v>
                </c:pt>
                <c:pt idx="14">
                  <c:v>0.86773267065934945</c:v>
                </c:pt>
                <c:pt idx="15">
                  <c:v>0.884364146555078</c:v>
                </c:pt>
                <c:pt idx="16">
                  <c:v>0.88784129327063299</c:v>
                </c:pt>
                <c:pt idx="17">
                  <c:v>0.88664815326141744</c:v>
                </c:pt>
              </c:numCache>
            </c:numRef>
          </c:val>
          <c:extLst>
            <c:ext xmlns:c16="http://schemas.microsoft.com/office/drawing/2014/chart" uri="{C3380CC4-5D6E-409C-BE32-E72D297353CC}">
              <c16:uniqueId val="{00000000-4679-4FF2-B82A-E75E3A27E986}"/>
            </c:ext>
          </c:extLst>
        </c:ser>
        <c:ser>
          <c:idx val="1"/>
          <c:order val="1"/>
          <c:tx>
            <c:strRef>
              <c:f>'Figura 6'!$G$21</c:f>
              <c:strCache>
                <c:ptCount val="1"/>
                <c:pt idx="0">
                  <c:v>% Invalidez</c:v>
                </c:pt>
              </c:strCache>
            </c:strRef>
          </c:tx>
          <c:spPr>
            <a:solidFill>
              <a:srgbClr val="FFC000"/>
            </a:solidFill>
            <a:ln>
              <a:noFill/>
            </a:ln>
            <a:effectLst/>
          </c:spPr>
          <c:invertIfNegative val="0"/>
          <c:dLbls>
            <c:numFmt formatCode="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'Figura 6'!$B$22:$B$39</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6'!$G$22:$G$39</c:f>
              <c:numCache>
                <c:formatCode>0.0%</c:formatCode>
                <c:ptCount val="18"/>
                <c:pt idx="0">
                  <c:v>0.36423560682312733</c:v>
                </c:pt>
                <c:pt idx="1">
                  <c:v>0.34747737711338994</c:v>
                </c:pt>
                <c:pt idx="2">
                  <c:v>0.30704716319250042</c:v>
                </c:pt>
                <c:pt idx="3">
                  <c:v>0.27717819412335359</c:v>
                </c:pt>
                <c:pt idx="4">
                  <c:v>0.25817720064858574</c:v>
                </c:pt>
                <c:pt idx="5">
                  <c:v>0.24662813649238294</c:v>
                </c:pt>
                <c:pt idx="6">
                  <c:v>0.23979661358006127</c:v>
                </c:pt>
                <c:pt idx="7">
                  <c:v>0.23162168251442153</c:v>
                </c:pt>
                <c:pt idx="8">
                  <c:v>0.22532988816092892</c:v>
                </c:pt>
                <c:pt idx="9">
                  <c:v>0.21880173062293723</c:v>
                </c:pt>
                <c:pt idx="10">
                  <c:v>0.20934081909235641</c:v>
                </c:pt>
                <c:pt idx="11">
                  <c:v>0.19756485869511042</c:v>
                </c:pt>
                <c:pt idx="12">
                  <c:v>0.17073916016272508</c:v>
                </c:pt>
                <c:pt idx="13">
                  <c:v>0.1636146303678814</c:v>
                </c:pt>
                <c:pt idx="14">
                  <c:v>0.13226732934065052</c:v>
                </c:pt>
                <c:pt idx="15">
                  <c:v>0.11563585344492203</c:v>
                </c:pt>
                <c:pt idx="16">
                  <c:v>0.11215870672936708</c:v>
                </c:pt>
                <c:pt idx="17">
                  <c:v>0.11335184673858256</c:v>
                </c:pt>
              </c:numCache>
            </c:numRef>
          </c:val>
          <c:extLst>
            <c:ext xmlns:c16="http://schemas.microsoft.com/office/drawing/2014/chart" uri="{C3380CC4-5D6E-409C-BE32-E72D297353CC}">
              <c16:uniqueId val="{00000001-4679-4FF2-B82A-E75E3A27E986}"/>
            </c:ext>
          </c:extLst>
        </c:ser>
        <c:dLbls>
          <c:dLblPos val="ctr"/>
          <c:showLegendKey val="0"/>
          <c:showVal val="1"/>
          <c:showCatName val="0"/>
          <c:showSerName val="0"/>
          <c:showPercent val="0"/>
          <c:showBubbleSize val="0"/>
        </c:dLbls>
        <c:gapWidth val="110"/>
        <c:overlap val="100"/>
        <c:axId val="52474015"/>
        <c:axId val="52475095"/>
      </c:barChart>
      <c:catAx>
        <c:axId val="52474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Light" panose="020F0302020204030204" pitchFamily="34" charset="0"/>
                <a:ea typeface="+mn-ea"/>
                <a:cs typeface="Calibri Light" panose="020F0302020204030204" pitchFamily="34" charset="0"/>
              </a:defRPr>
            </a:pPr>
            <a:endParaRPr lang="es-CL"/>
          </a:p>
        </c:txPr>
        <c:crossAx val="52475095"/>
        <c:crosses val="autoZero"/>
        <c:auto val="1"/>
        <c:lblAlgn val="ctr"/>
        <c:lblOffset val="100"/>
        <c:noMultiLvlLbl val="0"/>
      </c:catAx>
      <c:valAx>
        <c:axId val="52475095"/>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524740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'Figura 7'!$H$25</c:f>
              <c:strCache>
                <c:ptCount val="1"/>
                <c:pt idx="0">
                  <c:v>Hombres</c:v>
                </c:pt>
              </c:strCache>
            </c:strRef>
          </c:tx>
          <c:spPr>
            <a:solidFill>
              <a:srgbClr val="FD625E"/>
            </a:solidFill>
            <a:ln>
              <a:noFill/>
            </a:ln>
            <a:effectLst/>
          </c:spPr>
          <c:invertIfNegative val="0"/>
          <c:dLbls>
            <c:spPr>
              <a:noFill/>
              <a:ln>
                <a:noFill/>
              </a:ln>
              <a:effectLst/>
            </c:spPr>
            <c:txPr>
              <a:bodyPr rot="-5400000" spcFirstLastPara="1" vertOverflow="ellipsis" wrap="square" anchor="ctr" anchorCtr="1"/>
              <a:lstStyle/>
              <a:p>
                <a:pPr>
                  <a:defRPr sz="900" b="1" i="0" u="none" strike="noStrike" kern="1200" baseline="0">
                    <a:solidFill>
                      <a:schemeClr val="bg1"/>
                    </a:solidFill>
                    <a:latin typeface="+mn-lt"/>
                    <a:ea typeface="+mn-ea"/>
                    <a:cs typeface="+mn-cs"/>
                  </a:defRPr>
                </a:pPr>
                <a:endParaRPr lang="es-C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'Figura 7'!$G$26:$G$43</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7'!$H$26:$H$43</c:f>
              <c:numCache>
                <c:formatCode>0%</c:formatCode>
                <c:ptCount val="18"/>
                <c:pt idx="0">
                  <c:v>0.36572907386610293</c:v>
                </c:pt>
                <c:pt idx="1">
                  <c:v>0.34985108932036635</c:v>
                </c:pt>
                <c:pt idx="2">
                  <c:v>0.35228919083757387</c:v>
                </c:pt>
                <c:pt idx="3">
                  <c:v>0.3595588474745281</c:v>
                </c:pt>
                <c:pt idx="4">
                  <c:v>0.36304694828090461</c:v>
                </c:pt>
                <c:pt idx="5">
                  <c:v>0.36411083881337264</c:v>
                </c:pt>
                <c:pt idx="6">
                  <c:v>0.36444878487897608</c:v>
                </c:pt>
                <c:pt idx="7">
                  <c:v>0.36645653872428863</c:v>
                </c:pt>
                <c:pt idx="8">
                  <c:v>0.36675908117727379</c:v>
                </c:pt>
                <c:pt idx="9">
                  <c:v>0.36693103837071961</c:v>
                </c:pt>
                <c:pt idx="10">
                  <c:v>0.36767156539792217</c:v>
                </c:pt>
                <c:pt idx="11">
                  <c:v>0.36855116736907134</c:v>
                </c:pt>
                <c:pt idx="12">
                  <c:v>0.36949109377924072</c:v>
                </c:pt>
                <c:pt idx="13">
                  <c:v>0.37246135252804974</c:v>
                </c:pt>
                <c:pt idx="14">
                  <c:v>0.39738829230056161</c:v>
                </c:pt>
                <c:pt idx="15">
                  <c:v>0.41245081206800538</c:v>
                </c:pt>
                <c:pt idx="16">
                  <c:v>0.41574784342889937</c:v>
                </c:pt>
                <c:pt idx="17">
                  <c:v>0.41807086138215199</c:v>
                </c:pt>
              </c:numCache>
            </c:numRef>
          </c:val>
          <c:extLst>
            <c:ext xmlns:c16="http://schemas.microsoft.com/office/drawing/2014/chart" uri="{C3380CC4-5D6E-409C-BE32-E72D297353CC}">
              <c16:uniqueId val="{00000000-4CE0-4445-BECC-963BA53F7BB7}"/>
            </c:ext>
          </c:extLst>
        </c:ser>
        <c:ser>
          <c:idx val="1"/>
          <c:order val="1"/>
          <c:tx>
            <c:strRef>
              <c:f>'Figura 7'!$I$25</c:f>
              <c:strCache>
                <c:ptCount val="1"/>
                <c:pt idx="0">
                  <c:v>Mujeres</c:v>
                </c:pt>
              </c:strCache>
            </c:strRef>
          </c:tx>
          <c:spPr>
            <a:solidFill>
              <a:srgbClr val="2D3D43"/>
            </a:solidFill>
            <a:ln>
              <a:noFill/>
            </a:ln>
            <a:effectLst/>
          </c:spPr>
          <c:invertIfNegative val="0"/>
          <c:dLbls>
            <c:spPr>
              <a:noFill/>
              <a:ln>
                <a:noFill/>
              </a:ln>
              <a:effectLst/>
            </c:spPr>
            <c:txPr>
              <a:bodyPr rot="-5400000" spcFirstLastPara="1" vertOverflow="ellipsis" wrap="square" anchor="ctr" anchorCtr="1"/>
              <a:lstStyle/>
              <a:p>
                <a:pPr>
                  <a:defRPr sz="900" b="1" i="0" u="none" strike="noStrike" kern="1200" baseline="0">
                    <a:solidFill>
                      <a:schemeClr val="bg1"/>
                    </a:solidFill>
                    <a:latin typeface="+mn-lt"/>
                    <a:ea typeface="+mn-ea"/>
                    <a:cs typeface="+mn-cs"/>
                  </a:defRPr>
                </a:pPr>
                <a:endParaRPr lang="es-C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'Figura 7'!$G$26:$G$43</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7'!$I$26:$I$43</c:f>
              <c:numCache>
                <c:formatCode>0%</c:formatCode>
                <c:ptCount val="18"/>
                <c:pt idx="0">
                  <c:v>0.63427092613389702</c:v>
                </c:pt>
                <c:pt idx="1">
                  <c:v>0.65014891067963376</c:v>
                </c:pt>
                <c:pt idx="2">
                  <c:v>0.64771080916242607</c:v>
                </c:pt>
                <c:pt idx="3">
                  <c:v>0.64044115252547196</c:v>
                </c:pt>
                <c:pt idx="4">
                  <c:v>0.63695305171909544</c:v>
                </c:pt>
                <c:pt idx="5">
                  <c:v>0.63588916118662731</c:v>
                </c:pt>
                <c:pt idx="6">
                  <c:v>0.63555121512102397</c:v>
                </c:pt>
                <c:pt idx="7">
                  <c:v>0.63354346127571137</c:v>
                </c:pt>
                <c:pt idx="8">
                  <c:v>0.63324091882272626</c:v>
                </c:pt>
                <c:pt idx="9">
                  <c:v>0.63306896162928039</c:v>
                </c:pt>
                <c:pt idx="10">
                  <c:v>0.63232843460207777</c:v>
                </c:pt>
                <c:pt idx="11">
                  <c:v>0.63144883263092877</c:v>
                </c:pt>
                <c:pt idx="12">
                  <c:v>0.63050890622075939</c:v>
                </c:pt>
                <c:pt idx="13">
                  <c:v>0.62753864747195032</c:v>
                </c:pt>
                <c:pt idx="14">
                  <c:v>0.60261170769943839</c:v>
                </c:pt>
                <c:pt idx="15">
                  <c:v>0.58754918793199473</c:v>
                </c:pt>
                <c:pt idx="16">
                  <c:v>0.58425215657110052</c:v>
                </c:pt>
                <c:pt idx="17">
                  <c:v>0.58192913861784801</c:v>
                </c:pt>
              </c:numCache>
            </c:numRef>
          </c:val>
          <c:extLst>
            <c:ext xmlns:c16="http://schemas.microsoft.com/office/drawing/2014/chart" uri="{C3380CC4-5D6E-409C-BE32-E72D297353CC}">
              <c16:uniqueId val="{00000001-4CE0-4445-BECC-963BA53F7BB7}"/>
            </c:ext>
          </c:extLst>
        </c:ser>
        <c:dLbls>
          <c:dLblPos val="ctr"/>
          <c:showLegendKey val="0"/>
          <c:showVal val="1"/>
          <c:showCatName val="0"/>
          <c:showSerName val="0"/>
          <c:showPercent val="0"/>
          <c:showBubbleSize val="0"/>
        </c:dLbls>
        <c:gapWidth val="110"/>
        <c:overlap val="100"/>
        <c:axId val="1200957616"/>
        <c:axId val="1200957976"/>
      </c:barChart>
      <c:catAx>
        <c:axId val="1200957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00957976"/>
        <c:crosses val="autoZero"/>
        <c:auto val="1"/>
        <c:lblAlgn val="ctr"/>
        <c:lblOffset val="100"/>
        <c:noMultiLvlLbl val="0"/>
      </c:catAx>
      <c:valAx>
        <c:axId val="12009579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00957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noFill/>
      <a:round/>
    </a:ln>
    <a:effectLst/>
  </c:spPr>
  <c:txPr>
    <a:bodyPr/>
    <a:lstStyle/>
    <a:p>
      <a:pPr>
        <a:defRPr>
          <a:latin typeface="+mn-lt"/>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FFC000"/>
              </a:solidFill>
              <a:ln w="19050">
                <a:solidFill>
                  <a:schemeClr val="lt1"/>
                </a:solidFill>
              </a:ln>
              <a:effectLst/>
            </c:spPr>
            <c:extLst>
              <c:ext xmlns:c16="http://schemas.microsoft.com/office/drawing/2014/chart" uri="{C3380CC4-5D6E-409C-BE32-E72D297353CC}">
                <c16:uniqueId val="{00000001-3ADF-476A-B187-D8598F228DFD}"/>
              </c:ext>
            </c:extLst>
          </c:dPt>
          <c:dPt>
            <c:idx val="1"/>
            <c:bubble3D val="0"/>
            <c:spPr>
              <a:solidFill>
                <a:srgbClr val="2D3D43"/>
              </a:solidFill>
              <a:ln w="19050">
                <a:solidFill>
                  <a:schemeClr val="lt1"/>
                </a:solidFill>
              </a:ln>
              <a:effectLst/>
            </c:spPr>
            <c:extLst>
              <c:ext xmlns:c16="http://schemas.microsoft.com/office/drawing/2014/chart" uri="{C3380CC4-5D6E-409C-BE32-E72D297353CC}">
                <c16:uniqueId val="{00000002-3ADF-476A-B187-D8598F228DFD}"/>
              </c:ext>
            </c:extLst>
          </c:dPt>
          <c:dPt>
            <c:idx val="2"/>
            <c:bubble3D val="0"/>
            <c:spPr>
              <a:solidFill>
                <a:srgbClr val="006666"/>
              </a:solidFill>
              <a:ln w="19050">
                <a:solidFill>
                  <a:schemeClr val="lt1"/>
                </a:solidFill>
              </a:ln>
              <a:effectLst/>
            </c:spPr>
            <c:extLst>
              <c:ext xmlns:c16="http://schemas.microsoft.com/office/drawing/2014/chart" uri="{C3380CC4-5D6E-409C-BE32-E72D297353CC}">
                <c16:uniqueId val="{00000003-3ADF-476A-B187-D8598F228DFD}"/>
              </c:ext>
            </c:extLst>
          </c:dPt>
          <c:dLbls>
            <c:dLbl>
              <c:idx val="0"/>
              <c:layout>
                <c:manualLayout>
                  <c:x val="2.3055965406921536E-2"/>
                  <c:y val="3.061848372768226E-2"/>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s-CL"/>
                </a:p>
              </c:txPr>
              <c:dLblPos val="bestFit"/>
              <c:showLegendKey val="0"/>
              <c:showVal val="1"/>
              <c:showCatName val="0"/>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3ADF-476A-B187-D8598F228DFD}"/>
                </c:ext>
              </c:extLst>
            </c:dLbl>
            <c:dLbl>
              <c:idx val="1"/>
              <c:layout>
                <c:manualLayout>
                  <c:x val="6.0194464328322594E-2"/>
                  <c:y val="4.6708537108316461E-2"/>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s-CL"/>
                </a:p>
              </c:txPr>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3ADF-476A-B187-D8598F228DFD}"/>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dLblPos val="bestFit"/>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8'!$C$23:$E$23</c:f>
              <c:strCache>
                <c:ptCount val="3"/>
                <c:pt idx="0">
                  <c:v> PBSI  </c:v>
                </c:pt>
                <c:pt idx="1">
                  <c:v> APSI  </c:v>
                </c:pt>
                <c:pt idx="2">
                  <c:v> PGU </c:v>
                </c:pt>
              </c:strCache>
            </c:strRef>
          </c:cat>
          <c:val>
            <c:numRef>
              <c:f>'Figura 8'!$C$24:$E$24</c:f>
              <c:numCache>
                <c:formatCode>_-* #,##0_-;\-* #,##0_-;_-* "-"??_-;_-@_-</c:formatCode>
                <c:ptCount val="3"/>
                <c:pt idx="0">
                  <c:v>8972</c:v>
                </c:pt>
                <c:pt idx="1">
                  <c:v>9533</c:v>
                </c:pt>
                <c:pt idx="2">
                  <c:v>163275</c:v>
                </c:pt>
              </c:numCache>
            </c:numRef>
          </c:val>
          <c:extLst>
            <c:ext xmlns:c16="http://schemas.microsoft.com/office/drawing/2014/chart" uri="{C3380CC4-5D6E-409C-BE32-E72D297353CC}">
              <c16:uniqueId val="{00000000-3ADF-476A-B187-D8598F228DFD}"/>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9999"/>
            </a:solidFill>
            <a:ln>
              <a:noFill/>
            </a:ln>
            <a:effectLst/>
          </c:spPr>
          <c:invertIfNegative val="0"/>
          <c:dPt>
            <c:idx val="0"/>
            <c:invertIfNegative val="0"/>
            <c:bubble3D val="0"/>
            <c:spPr>
              <a:solidFill>
                <a:srgbClr val="2D3D43"/>
              </a:solidFill>
              <a:ln>
                <a:noFill/>
              </a:ln>
              <a:effectLst/>
            </c:spPr>
            <c:extLst>
              <c:ext xmlns:c16="http://schemas.microsoft.com/office/drawing/2014/chart" uri="{C3380CC4-5D6E-409C-BE32-E72D297353CC}">
                <c16:uniqueId val="{00000001-DE03-4B99-894A-E270C9827207}"/>
              </c:ext>
            </c:extLst>
          </c:dPt>
          <c:dPt>
            <c:idx val="1"/>
            <c:invertIfNegative val="0"/>
            <c:bubble3D val="0"/>
            <c:spPr>
              <a:solidFill>
                <a:srgbClr val="2D3D43"/>
              </a:solidFill>
              <a:ln>
                <a:noFill/>
              </a:ln>
              <a:effectLst/>
            </c:spPr>
            <c:extLst>
              <c:ext xmlns:c16="http://schemas.microsoft.com/office/drawing/2014/chart" uri="{C3380CC4-5D6E-409C-BE32-E72D297353CC}">
                <c16:uniqueId val="{00000003-DE03-4B99-894A-E270C9827207}"/>
              </c:ext>
            </c:extLst>
          </c:dPt>
          <c:dPt>
            <c:idx val="2"/>
            <c:invertIfNegative val="0"/>
            <c:bubble3D val="0"/>
            <c:spPr>
              <a:solidFill>
                <a:srgbClr val="009999"/>
              </a:solidFill>
              <a:ln>
                <a:noFill/>
              </a:ln>
              <a:effectLst/>
            </c:spPr>
            <c:extLst>
              <c:ext xmlns:c16="http://schemas.microsoft.com/office/drawing/2014/chart" uri="{C3380CC4-5D6E-409C-BE32-E72D297353CC}">
                <c16:uniqueId val="{00000005-DE03-4B99-894A-E270C9827207}"/>
              </c:ext>
            </c:extLst>
          </c:dPt>
          <c:dPt>
            <c:idx val="8"/>
            <c:invertIfNegative val="0"/>
            <c:bubble3D val="0"/>
            <c:spPr>
              <a:solidFill>
                <a:srgbClr val="006666"/>
              </a:solidFill>
              <a:ln>
                <a:noFill/>
              </a:ln>
              <a:effectLst/>
            </c:spPr>
            <c:extLst>
              <c:ext xmlns:c16="http://schemas.microsoft.com/office/drawing/2014/chart" uri="{C3380CC4-5D6E-409C-BE32-E72D297353CC}">
                <c16:uniqueId val="{00000007-DE03-4B99-894A-E270C982720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'Figura 9'!$C$21:$E$21</c:f>
              <c:strCache>
                <c:ptCount val="3"/>
                <c:pt idx="0">
                  <c:v>Mujeres</c:v>
                </c:pt>
                <c:pt idx="1">
                  <c:v>Hombres</c:v>
                </c:pt>
                <c:pt idx="2">
                  <c:v>Total</c:v>
                </c:pt>
              </c:strCache>
            </c:strRef>
          </c:cat>
          <c:val>
            <c:numRef>
              <c:f>'Figura 9'!$C$22:$E$22</c:f>
              <c:numCache>
                <c:formatCode>0.0%</c:formatCode>
                <c:ptCount val="3"/>
                <c:pt idx="0">
                  <c:v>0.83606962612009472</c:v>
                </c:pt>
                <c:pt idx="1">
                  <c:v>0.83078285511866812</c:v>
                </c:pt>
                <c:pt idx="2">
                  <c:v>0.83360655737704914</c:v>
                </c:pt>
              </c:numCache>
            </c:numRef>
          </c:val>
          <c:extLst>
            <c:ext xmlns:c16="http://schemas.microsoft.com/office/drawing/2014/chart" uri="{C3380CC4-5D6E-409C-BE32-E72D297353CC}">
              <c16:uniqueId val="{00000008-DE03-4B99-894A-E270C9827207}"/>
            </c:ext>
          </c:extLst>
        </c:ser>
        <c:dLbls>
          <c:showLegendKey val="0"/>
          <c:showVal val="0"/>
          <c:showCatName val="0"/>
          <c:showSerName val="0"/>
          <c:showPercent val="0"/>
          <c:showBubbleSize val="0"/>
        </c:dLbls>
        <c:gapWidth val="219"/>
        <c:axId val="-1323864928"/>
        <c:axId val="-1323864384"/>
      </c:barChart>
      <c:catAx>
        <c:axId val="-132386492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a:t>Sexo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323864384"/>
        <c:crosses val="autoZero"/>
        <c:auto val="1"/>
        <c:lblAlgn val="ctr"/>
        <c:lblOffset val="100"/>
        <c:noMultiLvlLbl val="0"/>
      </c:catAx>
      <c:valAx>
        <c:axId val="-1323864384"/>
        <c:scaling>
          <c:orientation val="minMax"/>
          <c:max val="1"/>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a:t>Tasa de concesión</a:t>
                </a:r>
                <a:r>
                  <a:rPr lang="es-CL" baseline="0"/>
                  <a:t> (%)</a:t>
                </a:r>
                <a:endParaRPr lang="es-C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3238649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9999"/>
            </a:solidFill>
            <a:ln>
              <a:noFill/>
            </a:ln>
            <a:effectLst/>
          </c:spPr>
          <c:invertIfNegative val="0"/>
          <c:dPt>
            <c:idx val="0"/>
            <c:invertIfNegative val="0"/>
            <c:bubble3D val="0"/>
            <c:spPr>
              <a:solidFill>
                <a:srgbClr val="2D3D43"/>
              </a:solidFill>
              <a:ln>
                <a:noFill/>
              </a:ln>
              <a:effectLst/>
            </c:spPr>
            <c:extLst>
              <c:ext xmlns:c16="http://schemas.microsoft.com/office/drawing/2014/chart" uri="{C3380CC4-5D6E-409C-BE32-E72D297353CC}">
                <c16:uniqueId val="{00000001-D84C-4E4C-8F4B-0F07D6F1842C}"/>
              </c:ext>
            </c:extLst>
          </c:dPt>
          <c:dPt>
            <c:idx val="1"/>
            <c:invertIfNegative val="0"/>
            <c:bubble3D val="0"/>
            <c:spPr>
              <a:solidFill>
                <a:srgbClr val="2D3D43"/>
              </a:solidFill>
              <a:ln>
                <a:noFill/>
              </a:ln>
              <a:effectLst/>
            </c:spPr>
            <c:extLst>
              <c:ext xmlns:c16="http://schemas.microsoft.com/office/drawing/2014/chart" uri="{C3380CC4-5D6E-409C-BE32-E72D297353CC}">
                <c16:uniqueId val="{00000003-D84C-4E4C-8F4B-0F07D6F1842C}"/>
              </c:ext>
            </c:extLst>
          </c:dPt>
          <c:dPt>
            <c:idx val="2"/>
            <c:invertIfNegative val="0"/>
            <c:bubble3D val="0"/>
            <c:spPr>
              <a:solidFill>
                <a:srgbClr val="2D3D43"/>
              </a:solidFill>
              <a:ln>
                <a:noFill/>
              </a:ln>
              <a:effectLst/>
            </c:spPr>
            <c:extLst>
              <c:ext xmlns:c16="http://schemas.microsoft.com/office/drawing/2014/chart" uri="{C3380CC4-5D6E-409C-BE32-E72D297353CC}">
                <c16:uniqueId val="{00000005-D84C-4E4C-8F4B-0F07D6F1842C}"/>
              </c:ext>
            </c:extLst>
          </c:dPt>
          <c:dPt>
            <c:idx val="8"/>
            <c:invertIfNegative val="0"/>
            <c:bubble3D val="0"/>
            <c:spPr>
              <a:solidFill>
                <a:srgbClr val="006666"/>
              </a:solidFill>
              <a:ln>
                <a:noFill/>
              </a:ln>
              <a:effectLst/>
            </c:spPr>
            <c:extLst>
              <c:ext xmlns:c16="http://schemas.microsoft.com/office/drawing/2014/chart" uri="{C3380CC4-5D6E-409C-BE32-E72D297353CC}">
                <c16:uniqueId val="{00000007-D84C-4E4C-8F4B-0F07D6F1842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'Figura 9'!$F$21:$I$21</c:f>
              <c:strCache>
                <c:ptCount val="4"/>
                <c:pt idx="0">
                  <c:v>PBSI </c:v>
                </c:pt>
                <c:pt idx="1">
                  <c:v>APSI </c:v>
                </c:pt>
                <c:pt idx="2">
                  <c:v>PGU</c:v>
                </c:pt>
                <c:pt idx="3">
                  <c:v>Total</c:v>
                </c:pt>
              </c:strCache>
            </c:strRef>
          </c:cat>
          <c:val>
            <c:numRef>
              <c:f>'Figura 9'!$F$22:$I$22</c:f>
              <c:numCache>
                <c:formatCode>0.0%</c:formatCode>
                <c:ptCount val="4"/>
                <c:pt idx="0">
                  <c:v>0.5131520285332144</c:v>
                </c:pt>
                <c:pt idx="1">
                  <c:v>0.84149795447393261</c:v>
                </c:pt>
                <c:pt idx="2">
                  <c:v>0.85075486143010259</c:v>
                </c:pt>
                <c:pt idx="3">
                  <c:v>0.83360655737704914</c:v>
                </c:pt>
              </c:numCache>
            </c:numRef>
          </c:val>
          <c:extLst>
            <c:ext xmlns:c16="http://schemas.microsoft.com/office/drawing/2014/chart" uri="{C3380CC4-5D6E-409C-BE32-E72D297353CC}">
              <c16:uniqueId val="{00000008-D84C-4E4C-8F4B-0F07D6F1842C}"/>
            </c:ext>
          </c:extLst>
        </c:ser>
        <c:dLbls>
          <c:showLegendKey val="0"/>
          <c:showVal val="0"/>
          <c:showCatName val="0"/>
          <c:showSerName val="0"/>
          <c:showPercent val="0"/>
          <c:showBubbleSize val="0"/>
        </c:dLbls>
        <c:gapWidth val="219"/>
        <c:axId val="-1323864928"/>
        <c:axId val="-1323864384"/>
      </c:barChart>
      <c:catAx>
        <c:axId val="-132386492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a:t>Beneficio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323864384"/>
        <c:crosses val="autoZero"/>
        <c:auto val="1"/>
        <c:lblAlgn val="ctr"/>
        <c:lblOffset val="100"/>
        <c:noMultiLvlLbl val="0"/>
      </c:catAx>
      <c:valAx>
        <c:axId val="-1323864384"/>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a:t>Tasa de concesión</a:t>
                </a:r>
                <a:r>
                  <a:rPr lang="es-CL" baseline="0"/>
                  <a:t> (%)</a:t>
                </a:r>
                <a:endParaRPr lang="es-C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3238649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r>
              <a:rPr lang="es-CL" sz="1000">
                <a:latin typeface="+mj-lt"/>
              </a:rPr>
              <a:t>Diciembre 2024</a:t>
            </a: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endParaRPr lang="es-CL"/>
        </a:p>
      </c:txPr>
    </c:title>
    <c:autoTitleDeleted val="0"/>
    <c:plotArea>
      <c:layout/>
      <c:pieChart>
        <c:varyColors val="1"/>
        <c:ser>
          <c:idx val="0"/>
          <c:order val="0"/>
          <c:spPr>
            <a:solidFill>
              <a:schemeClr val="accent4">
                <a:lumMod val="75000"/>
              </a:schemeClr>
            </a:solidFill>
          </c:spPr>
          <c:dPt>
            <c:idx val="0"/>
            <c:bubble3D val="0"/>
            <c:spPr>
              <a:solidFill>
                <a:srgbClr val="0C948A"/>
              </a:solidFill>
              <a:ln w="19050">
                <a:solidFill>
                  <a:schemeClr val="lt1"/>
                </a:solidFill>
              </a:ln>
              <a:effectLst/>
            </c:spPr>
            <c:extLst>
              <c:ext xmlns:c16="http://schemas.microsoft.com/office/drawing/2014/chart" uri="{C3380CC4-5D6E-409C-BE32-E72D297353CC}">
                <c16:uniqueId val="{00000001-4AB5-4BB1-8663-2DEE40381787}"/>
              </c:ext>
            </c:extLst>
          </c:dPt>
          <c:dPt>
            <c:idx val="1"/>
            <c:bubble3D val="0"/>
            <c:spPr>
              <a:solidFill>
                <a:srgbClr val="E7E6E6">
                  <a:lumMod val="75000"/>
                </a:srgbClr>
              </a:solidFill>
              <a:ln w="19050">
                <a:solidFill>
                  <a:schemeClr val="lt1"/>
                </a:solidFill>
              </a:ln>
              <a:effectLst/>
            </c:spPr>
            <c:extLst>
              <c:ext xmlns:c16="http://schemas.microsoft.com/office/drawing/2014/chart" uri="{C3380CC4-5D6E-409C-BE32-E72D297353CC}">
                <c16:uniqueId val="{00000003-4AB5-4BB1-8663-2DEE40381787}"/>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4AB5-4BB1-8663-2DEE40381787}"/>
                </c:ext>
              </c:extLst>
            </c:dLbl>
            <c:dLbl>
              <c:idx val="1"/>
              <c:spPr>
                <a:noFill/>
                <a:ln>
                  <a:noFill/>
                </a:ln>
                <a:effectLst/>
              </c:spPr>
              <c:txPr>
                <a:bodyPr rot="0" spcFirstLastPara="1" vertOverflow="ellipsis" vert="horz" wrap="square" lIns="38100" tIns="19050" rIns="38100" bIns="19050" anchor="ctr" anchorCtr="0">
                  <a:spAutoFit/>
                </a:bodyPr>
                <a:lstStyle/>
                <a:p>
                  <a:pPr algn="ctr" rtl="0">
                    <a:defRPr lang="en-US" sz="900" b="1" i="0" u="none" strike="noStrike" kern="1200" baseline="0">
                      <a:solidFill>
                        <a:sysClr val="windowText" lastClr="000000">
                          <a:lumMod val="75000"/>
                          <a:lumOff val="25000"/>
                        </a:sysClr>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4AB5-4BB1-8663-2DEE4038178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dLblPos val="ct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2'!$B$37:$B$38</c:f>
              <c:strCache>
                <c:ptCount val="2"/>
                <c:pt idx="0">
                  <c:v>PBS Invalidez</c:v>
                </c:pt>
                <c:pt idx="1">
                  <c:v>APS Invalidez</c:v>
                </c:pt>
              </c:strCache>
            </c:strRef>
          </c:cat>
          <c:val>
            <c:numRef>
              <c:f>'Figura 2'!$E$37:$E$38</c:f>
              <c:numCache>
                <c:formatCode>_(* #,##0_);_(* \(#,##0\);_(* "-"_);_(@_)</c:formatCode>
                <c:ptCount val="2"/>
                <c:pt idx="0">
                  <c:v>200026</c:v>
                </c:pt>
                <c:pt idx="1">
                  <c:v>100480</c:v>
                </c:pt>
              </c:numCache>
            </c:numRef>
          </c:val>
          <c:extLst>
            <c:ext xmlns:c16="http://schemas.microsoft.com/office/drawing/2014/chart" uri="{C3380CC4-5D6E-409C-BE32-E72D297353CC}">
              <c16:uniqueId val="{00000004-4AB5-4BB1-8663-2DEE40381787}"/>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j-lt"/>
              <a:ea typeface="+mn-ea"/>
              <a:cs typeface="+mn-cs"/>
            </a:defRPr>
          </a:pPr>
          <a:endParaRPr lang="es-CL"/>
        </a:p>
      </c:txPr>
    </c:legend>
    <c:plotVisOnly val="1"/>
    <c:dispBlanksAs val="gap"/>
    <c:showDLblsOverMax val="0"/>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0"/>
          <c:order val="0"/>
          <c:tx>
            <c:strRef>
              <c:f>'Figura 10'!$C$22</c:f>
              <c:strCache>
                <c:ptCount val="1"/>
                <c:pt idx="0">
                  <c:v>Total solicitudes ingresadas en el año</c:v>
                </c:pt>
              </c:strCache>
            </c:strRef>
          </c:tx>
          <c:spPr>
            <a:solidFill>
              <a:srgbClr val="009999"/>
            </a:solidFill>
            <a:ln>
              <a:noFill/>
            </a:ln>
            <a:effectLst/>
          </c:spPr>
          <c:cat>
            <c:numRef>
              <c:f>'Figura 10'!$B$23:$B$40</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10'!$C$23:$C$40</c:f>
              <c:numCache>
                <c:formatCode>_-* #,##0_-;\-* #,##0_-;_-* "-"??_-;_-@_-</c:formatCode>
                <c:ptCount val="18"/>
                <c:pt idx="0">
                  <c:v>140391</c:v>
                </c:pt>
                <c:pt idx="1">
                  <c:v>404235</c:v>
                </c:pt>
                <c:pt idx="2">
                  <c:v>244480</c:v>
                </c:pt>
                <c:pt idx="3">
                  <c:v>193506</c:v>
                </c:pt>
                <c:pt idx="4">
                  <c:v>191232</c:v>
                </c:pt>
                <c:pt idx="5">
                  <c:v>133274</c:v>
                </c:pt>
                <c:pt idx="6">
                  <c:v>151293</c:v>
                </c:pt>
                <c:pt idx="7">
                  <c:v>140754</c:v>
                </c:pt>
                <c:pt idx="8">
                  <c:v>138632</c:v>
                </c:pt>
                <c:pt idx="9">
                  <c:v>156673</c:v>
                </c:pt>
                <c:pt idx="10">
                  <c:v>178071</c:v>
                </c:pt>
                <c:pt idx="11">
                  <c:v>164934</c:v>
                </c:pt>
                <c:pt idx="12">
                  <c:v>219300</c:v>
                </c:pt>
                <c:pt idx="13">
                  <c:v>279613</c:v>
                </c:pt>
                <c:pt idx="14">
                  <c:v>652257</c:v>
                </c:pt>
                <c:pt idx="15">
                  <c:v>315967</c:v>
                </c:pt>
                <c:pt idx="16">
                  <c:v>304113</c:v>
                </c:pt>
                <c:pt idx="17">
                  <c:v>181780</c:v>
                </c:pt>
              </c:numCache>
            </c:numRef>
          </c:val>
          <c:extLst>
            <c:ext xmlns:c16="http://schemas.microsoft.com/office/drawing/2014/chart" uri="{C3380CC4-5D6E-409C-BE32-E72D297353CC}">
              <c16:uniqueId val="{00000000-CF8C-40C1-8B6B-BD825DACAD20}"/>
            </c:ext>
          </c:extLst>
        </c:ser>
        <c:ser>
          <c:idx val="1"/>
          <c:order val="1"/>
          <c:tx>
            <c:strRef>
              <c:f>'Figura 10'!$D$22</c:f>
              <c:strCache>
                <c:ptCount val="1"/>
                <c:pt idx="0">
                  <c:v>Total solicitudes concedidas en el año</c:v>
                </c:pt>
              </c:strCache>
            </c:strRef>
          </c:tx>
          <c:spPr>
            <a:solidFill>
              <a:srgbClr val="006666"/>
            </a:solidFill>
            <a:ln>
              <a:noFill/>
            </a:ln>
            <a:effectLst/>
          </c:spPr>
          <c:cat>
            <c:numRef>
              <c:f>'Figura 10'!$B$23:$B$40</c:f>
              <c:numCache>
                <c:formatCode>General</c:formatCod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numCache>
            </c:numRef>
          </c:cat>
          <c:val>
            <c:numRef>
              <c:f>'Figura 10'!$D$23:$D$40</c:f>
              <c:numCache>
                <c:formatCode>_-* #,##0_-;\-* #,##0_-;_-* "-"??_-;_-@_-</c:formatCode>
                <c:ptCount val="18"/>
                <c:pt idx="0">
                  <c:v>116198</c:v>
                </c:pt>
                <c:pt idx="1">
                  <c:v>366263</c:v>
                </c:pt>
                <c:pt idx="2">
                  <c:v>197189</c:v>
                </c:pt>
                <c:pt idx="3">
                  <c:v>139309</c:v>
                </c:pt>
                <c:pt idx="4">
                  <c:v>160132</c:v>
                </c:pt>
                <c:pt idx="5">
                  <c:v>110108</c:v>
                </c:pt>
                <c:pt idx="6">
                  <c:v>117885</c:v>
                </c:pt>
                <c:pt idx="7">
                  <c:v>111345</c:v>
                </c:pt>
                <c:pt idx="8">
                  <c:v>106795</c:v>
                </c:pt>
                <c:pt idx="9">
                  <c:v>123014</c:v>
                </c:pt>
                <c:pt idx="10">
                  <c:v>157149</c:v>
                </c:pt>
                <c:pt idx="11">
                  <c:v>145209</c:v>
                </c:pt>
                <c:pt idx="12">
                  <c:v>193693</c:v>
                </c:pt>
                <c:pt idx="13">
                  <c:v>237143</c:v>
                </c:pt>
                <c:pt idx="14">
                  <c:v>555074</c:v>
                </c:pt>
                <c:pt idx="15">
                  <c:v>269139</c:v>
                </c:pt>
                <c:pt idx="16">
                  <c:v>241080</c:v>
                </c:pt>
                <c:pt idx="17">
                  <c:v>151533</c:v>
                </c:pt>
              </c:numCache>
            </c:numRef>
          </c:val>
          <c:extLst>
            <c:ext xmlns:c16="http://schemas.microsoft.com/office/drawing/2014/chart" uri="{C3380CC4-5D6E-409C-BE32-E72D297353CC}">
              <c16:uniqueId val="{00000001-CF8C-40C1-8B6B-BD825DACAD20}"/>
            </c:ext>
          </c:extLst>
        </c:ser>
        <c:dLbls>
          <c:showLegendKey val="0"/>
          <c:showVal val="0"/>
          <c:showCatName val="0"/>
          <c:showSerName val="0"/>
          <c:showPercent val="0"/>
          <c:showBubbleSize val="0"/>
        </c:dLbls>
        <c:axId val="1923836272"/>
        <c:axId val="1923839872"/>
      </c:areaChart>
      <c:catAx>
        <c:axId val="19238362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923839872"/>
        <c:crosses val="autoZero"/>
        <c:auto val="1"/>
        <c:lblAlgn val="ctr"/>
        <c:lblOffset val="100"/>
        <c:noMultiLvlLbl val="0"/>
      </c:catAx>
      <c:valAx>
        <c:axId val="192383987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92383627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lineChart>
        <c:grouping val="standard"/>
        <c:varyColors val="0"/>
        <c:ser>
          <c:idx val="0"/>
          <c:order val="0"/>
          <c:tx>
            <c:strRef>
              <c:f>'Figura 11'!$E$12</c:f>
              <c:strCache>
                <c:ptCount val="1"/>
                <c:pt idx="0">
                  <c:v>Ambos sexos</c:v>
                </c:pt>
              </c:strCache>
            </c:strRef>
          </c:tx>
          <c:spPr>
            <a:ln w="28575" cap="rnd">
              <a:solidFill>
                <a:schemeClr val="accent3"/>
              </a:solidFill>
              <a:round/>
            </a:ln>
            <a:effectLst/>
          </c:spPr>
          <c:marker>
            <c:symbol val="none"/>
          </c:marker>
          <c:dLbls>
            <c:dLbl>
              <c:idx val="78"/>
              <c:layout>
                <c:manualLayout>
                  <c:x val="-1.1665534018937445E-16"/>
                  <c:y val="-1.86480186480186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553-45DB-B62A-9BCF6F04AA9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'Figura 11'!$D$13:$D$91</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11'!$E$13:$E$91</c:f>
              <c:numCache>
                <c:formatCode>0.0%</c:formatCode>
                <c:ptCount val="79"/>
                <c:pt idx="0">
                  <c:v>0.28535460260893225</c:v>
                </c:pt>
                <c:pt idx="1">
                  <c:v>0.28956721460342122</c:v>
                </c:pt>
                <c:pt idx="2">
                  <c:v>0.29476631048235002</c:v>
                </c:pt>
                <c:pt idx="3">
                  <c:v>0.29621877441797601</c:v>
                </c:pt>
                <c:pt idx="4">
                  <c:v>0.2907805548601024</c:v>
                </c:pt>
                <c:pt idx="5">
                  <c:v>0.28878431632435592</c:v>
                </c:pt>
                <c:pt idx="6">
                  <c:v>0.28625991727158134</c:v>
                </c:pt>
                <c:pt idx="7">
                  <c:v>0.28455594553809649</c:v>
                </c:pt>
                <c:pt idx="8">
                  <c:v>0.28266910505928894</c:v>
                </c:pt>
                <c:pt idx="9">
                  <c:v>0.28032073258570789</c:v>
                </c:pt>
                <c:pt idx="10">
                  <c:v>0.27794227018741091</c:v>
                </c:pt>
                <c:pt idx="11">
                  <c:v>0.27685020974570823</c:v>
                </c:pt>
                <c:pt idx="12">
                  <c:v>0.27732182507483244</c:v>
                </c:pt>
                <c:pt idx="13">
                  <c:v>0.28553861191813651</c:v>
                </c:pt>
                <c:pt idx="14">
                  <c:v>0.29280289800192932</c:v>
                </c:pt>
                <c:pt idx="15">
                  <c:v>0.29097000743552165</c:v>
                </c:pt>
                <c:pt idx="16">
                  <c:v>0.28597840849971984</c:v>
                </c:pt>
                <c:pt idx="17">
                  <c:v>0.27901697523572505</c:v>
                </c:pt>
                <c:pt idx="18">
                  <c:v>0.27919277455259478</c:v>
                </c:pt>
                <c:pt idx="19">
                  <c:v>0.2801692432602424</c:v>
                </c:pt>
                <c:pt idx="20">
                  <c:v>0.28011587510153269</c:v>
                </c:pt>
                <c:pt idx="21">
                  <c:v>0.28137590667591533</c:v>
                </c:pt>
                <c:pt idx="22">
                  <c:v>0.28109594682402095</c:v>
                </c:pt>
                <c:pt idx="23">
                  <c:v>0.28223688113217649</c:v>
                </c:pt>
                <c:pt idx="24">
                  <c:v>0.28104755089342359</c:v>
                </c:pt>
                <c:pt idx="25">
                  <c:v>0.28563306250111525</c:v>
                </c:pt>
                <c:pt idx="26">
                  <c:v>0.29086933852981878</c:v>
                </c:pt>
                <c:pt idx="27">
                  <c:v>0.29308704573064809</c:v>
                </c:pt>
                <c:pt idx="28">
                  <c:v>0.2914603650764116</c:v>
                </c:pt>
                <c:pt idx="29">
                  <c:v>0.2902447977547073</c:v>
                </c:pt>
                <c:pt idx="30">
                  <c:v>0.28856329579163614</c:v>
                </c:pt>
                <c:pt idx="31">
                  <c:v>0.26305791683156077</c:v>
                </c:pt>
                <c:pt idx="32">
                  <c:v>0.23548172755780186</c:v>
                </c:pt>
                <c:pt idx="33">
                  <c:v>0.22362061292105156</c:v>
                </c:pt>
                <c:pt idx="34">
                  <c:v>0.22305122108139083</c:v>
                </c:pt>
                <c:pt idx="35">
                  <c:v>0.22528965862204134</c:v>
                </c:pt>
                <c:pt idx="36">
                  <c:v>0.2348861435030839</c:v>
                </c:pt>
                <c:pt idx="37">
                  <c:v>0.25122065194892929</c:v>
                </c:pt>
                <c:pt idx="38">
                  <c:v>0.26681234348360405</c:v>
                </c:pt>
                <c:pt idx="39">
                  <c:v>0.26977950657301508</c:v>
                </c:pt>
                <c:pt idx="40">
                  <c:v>0.27084546322191183</c:v>
                </c:pt>
                <c:pt idx="41">
                  <c:v>0.26460219806021984</c:v>
                </c:pt>
                <c:pt idx="42">
                  <c:v>0.26687243503725505</c:v>
                </c:pt>
                <c:pt idx="43">
                  <c:v>0.2620339263109146</c:v>
                </c:pt>
                <c:pt idx="44">
                  <c:v>0.26096297408109093</c:v>
                </c:pt>
                <c:pt idx="45">
                  <c:v>0.25963814724550238</c:v>
                </c:pt>
                <c:pt idx="46">
                  <c:v>0.26891013251986035</c:v>
                </c:pt>
                <c:pt idx="47">
                  <c:v>0.27130015518174644</c:v>
                </c:pt>
                <c:pt idx="48">
                  <c:v>0.2764895258663278</c:v>
                </c:pt>
                <c:pt idx="49">
                  <c:v>0.2792718273441066</c:v>
                </c:pt>
                <c:pt idx="50">
                  <c:v>0.28213103951341889</c:v>
                </c:pt>
                <c:pt idx="51">
                  <c:v>0.28278862905396818</c:v>
                </c:pt>
                <c:pt idx="52">
                  <c:v>0.2803396790541231</c:v>
                </c:pt>
                <c:pt idx="53">
                  <c:v>0.2781410977307302</c:v>
                </c:pt>
                <c:pt idx="54">
                  <c:v>0.27267604368477583</c:v>
                </c:pt>
                <c:pt idx="55">
                  <c:v>0.27169992859484204</c:v>
                </c:pt>
                <c:pt idx="56">
                  <c:v>0.27349169749666635</c:v>
                </c:pt>
                <c:pt idx="57">
                  <c:v>0.27108124218716378</c:v>
                </c:pt>
                <c:pt idx="58">
                  <c:v>0.26638911205148119</c:v>
                </c:pt>
                <c:pt idx="59">
                  <c:v>0.26661142937526178</c:v>
                </c:pt>
                <c:pt idx="60">
                  <c:v>0.27062018528346771</c:v>
                </c:pt>
                <c:pt idx="61">
                  <c:v>0.27665694292883763</c:v>
                </c:pt>
                <c:pt idx="62">
                  <c:v>0.27276881256707325</c:v>
                </c:pt>
                <c:pt idx="63">
                  <c:v>0.2736755785465636</c:v>
                </c:pt>
                <c:pt idx="64">
                  <c:v>0.2727380591448777</c:v>
                </c:pt>
                <c:pt idx="65">
                  <c:v>0.27313266316608581</c:v>
                </c:pt>
                <c:pt idx="66">
                  <c:v>0.27448576676904174</c:v>
                </c:pt>
                <c:pt idx="67">
                  <c:v>0.27357113273130745</c:v>
                </c:pt>
                <c:pt idx="68">
                  <c:v>0.27384369994648483</c:v>
                </c:pt>
                <c:pt idx="69">
                  <c:v>0.27175271827698411</c:v>
                </c:pt>
                <c:pt idx="70">
                  <c:v>0.2686765093625022</c:v>
                </c:pt>
                <c:pt idx="71">
                  <c:v>0.26719586667055739</c:v>
                </c:pt>
                <c:pt idx="72">
                  <c:v>0.26676177977484883</c:v>
                </c:pt>
                <c:pt idx="73">
                  <c:v>0.27040218556152207</c:v>
                </c:pt>
                <c:pt idx="74">
                  <c:v>0.27464028443840682</c:v>
                </c:pt>
                <c:pt idx="75">
                  <c:v>0.27531614419693662</c:v>
                </c:pt>
                <c:pt idx="76">
                  <c:v>0.27550895972434064</c:v>
                </c:pt>
                <c:pt idx="77">
                  <c:v>0.27378800997918984</c:v>
                </c:pt>
                <c:pt idx="78">
                  <c:v>0.28088192358267156</c:v>
                </c:pt>
              </c:numCache>
            </c:numRef>
          </c:val>
          <c:smooth val="0"/>
          <c:extLst>
            <c:ext xmlns:c16="http://schemas.microsoft.com/office/drawing/2014/chart" uri="{C3380CC4-5D6E-409C-BE32-E72D297353CC}">
              <c16:uniqueId val="{00000001-D553-45DB-B62A-9BCF6F04AA9A}"/>
            </c:ext>
          </c:extLst>
        </c:ser>
        <c:ser>
          <c:idx val="1"/>
          <c:order val="1"/>
          <c:tx>
            <c:strRef>
              <c:f>'Figura 11'!$F$12</c:f>
              <c:strCache>
                <c:ptCount val="1"/>
                <c:pt idx="0">
                  <c:v>Hombres</c:v>
                </c:pt>
              </c:strCache>
            </c:strRef>
          </c:tx>
          <c:spPr>
            <a:ln w="28575" cap="rnd">
              <a:solidFill>
                <a:schemeClr val="accent2"/>
              </a:solidFill>
              <a:round/>
            </a:ln>
            <a:effectLst/>
          </c:spPr>
          <c:marker>
            <c:symbol val="none"/>
          </c:marker>
          <c:dLbls>
            <c:dLbl>
              <c:idx val="78"/>
              <c:layout>
                <c:manualLayout>
                  <c:x val="-1.1665534018937445E-16"/>
                  <c:y val="-1.5540015540015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553-45DB-B62A-9BCF6F04AA9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'Figura 11'!$D$13:$D$91</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11'!$F$13:$F$91</c:f>
              <c:numCache>
                <c:formatCode>0.0%</c:formatCode>
                <c:ptCount val="79"/>
                <c:pt idx="0">
                  <c:v>0.27251667745961283</c:v>
                </c:pt>
                <c:pt idx="1">
                  <c:v>0.27563007828214775</c:v>
                </c:pt>
                <c:pt idx="2">
                  <c:v>0.27948815951837847</c:v>
                </c:pt>
                <c:pt idx="3">
                  <c:v>0.28042421747898949</c:v>
                </c:pt>
                <c:pt idx="4">
                  <c:v>0.27505993775610749</c:v>
                </c:pt>
                <c:pt idx="5">
                  <c:v>0.27483136147224074</c:v>
                </c:pt>
                <c:pt idx="6">
                  <c:v>0.27219374135334129</c:v>
                </c:pt>
                <c:pt idx="7">
                  <c:v>0.27092229608216761</c:v>
                </c:pt>
                <c:pt idx="8">
                  <c:v>0.26887217104905864</c:v>
                </c:pt>
                <c:pt idx="9">
                  <c:v>0.26600324608734677</c:v>
                </c:pt>
                <c:pt idx="10">
                  <c:v>0.26452692916072018</c:v>
                </c:pt>
                <c:pt idx="11">
                  <c:v>0.26461973365583968</c:v>
                </c:pt>
                <c:pt idx="12">
                  <c:v>0.2652650959427289</c:v>
                </c:pt>
                <c:pt idx="13">
                  <c:v>0.27473420631140572</c:v>
                </c:pt>
                <c:pt idx="14">
                  <c:v>0.27931836895111106</c:v>
                </c:pt>
                <c:pt idx="15">
                  <c:v>0.27877440806064918</c:v>
                </c:pt>
                <c:pt idx="16">
                  <c:v>0.27535714704262154</c:v>
                </c:pt>
                <c:pt idx="17">
                  <c:v>0.27232296754017771</c:v>
                </c:pt>
                <c:pt idx="18">
                  <c:v>0.26994111971459017</c:v>
                </c:pt>
                <c:pt idx="19">
                  <c:v>0.26990806120276783</c:v>
                </c:pt>
                <c:pt idx="20">
                  <c:v>0.26891452448670039</c:v>
                </c:pt>
                <c:pt idx="21">
                  <c:v>0.27217987053653131</c:v>
                </c:pt>
                <c:pt idx="22">
                  <c:v>0.27017737202606423</c:v>
                </c:pt>
                <c:pt idx="23">
                  <c:v>0.27208097770175221</c:v>
                </c:pt>
                <c:pt idx="24">
                  <c:v>0.27000089725417292</c:v>
                </c:pt>
                <c:pt idx="25">
                  <c:v>0.27599088013706974</c:v>
                </c:pt>
                <c:pt idx="26">
                  <c:v>0.27977493349868859</c:v>
                </c:pt>
                <c:pt idx="27">
                  <c:v>0.28353738311557775</c:v>
                </c:pt>
                <c:pt idx="28">
                  <c:v>0.28070421086080749</c:v>
                </c:pt>
                <c:pt idx="29">
                  <c:v>0.27609550945751599</c:v>
                </c:pt>
                <c:pt idx="30">
                  <c:v>0.27471087545816897</c:v>
                </c:pt>
                <c:pt idx="31">
                  <c:v>0.25647373187526279</c:v>
                </c:pt>
                <c:pt idx="32">
                  <c:v>0.23253954686065825</c:v>
                </c:pt>
                <c:pt idx="33">
                  <c:v>0.22241735374562119</c:v>
                </c:pt>
                <c:pt idx="34">
                  <c:v>0.21907470045432395</c:v>
                </c:pt>
                <c:pt idx="35">
                  <c:v>0.21753037147903601</c:v>
                </c:pt>
                <c:pt idx="36">
                  <c:v>0.23010670528905608</c:v>
                </c:pt>
                <c:pt idx="37">
                  <c:v>0.24781356399597532</c:v>
                </c:pt>
                <c:pt idx="38">
                  <c:v>0.2697595358169278</c:v>
                </c:pt>
                <c:pt idx="39">
                  <c:v>0.26879324066770471</c:v>
                </c:pt>
                <c:pt idx="40">
                  <c:v>0.26765519335319005</c:v>
                </c:pt>
                <c:pt idx="41">
                  <c:v>0.25814049800243782</c:v>
                </c:pt>
                <c:pt idx="42">
                  <c:v>0.26086357878031452</c:v>
                </c:pt>
                <c:pt idx="43">
                  <c:v>0.25771326435533642</c:v>
                </c:pt>
                <c:pt idx="44">
                  <c:v>0.25640687544629048</c:v>
                </c:pt>
                <c:pt idx="45">
                  <c:v>0.25513718739051283</c:v>
                </c:pt>
                <c:pt idx="46">
                  <c:v>0.2650076458939582</c:v>
                </c:pt>
                <c:pt idx="47">
                  <c:v>0.26956836444843268</c:v>
                </c:pt>
                <c:pt idx="48">
                  <c:v>0.27213453464395609</c:v>
                </c:pt>
                <c:pt idx="49">
                  <c:v>0.27262853601408582</c:v>
                </c:pt>
                <c:pt idx="50">
                  <c:v>0.27045720468551848</c:v>
                </c:pt>
                <c:pt idx="51">
                  <c:v>0.27323356515611913</c:v>
                </c:pt>
                <c:pt idx="52">
                  <c:v>0.27428685345983395</c:v>
                </c:pt>
                <c:pt idx="53">
                  <c:v>0.27534745717589504</c:v>
                </c:pt>
                <c:pt idx="54">
                  <c:v>0.27087983871602128</c:v>
                </c:pt>
                <c:pt idx="55">
                  <c:v>0.26424990456617714</c:v>
                </c:pt>
                <c:pt idx="56">
                  <c:v>0.26586104012358824</c:v>
                </c:pt>
                <c:pt idx="57">
                  <c:v>0.26278605944410954</c:v>
                </c:pt>
                <c:pt idx="58">
                  <c:v>0.2557942425973303</c:v>
                </c:pt>
                <c:pt idx="59">
                  <c:v>0.25458188937919901</c:v>
                </c:pt>
                <c:pt idx="60">
                  <c:v>0.25730528053311336</c:v>
                </c:pt>
                <c:pt idx="61">
                  <c:v>0.26655079332766674</c:v>
                </c:pt>
                <c:pt idx="62">
                  <c:v>0.26537265472955029</c:v>
                </c:pt>
                <c:pt idx="63">
                  <c:v>0.26541179828738853</c:v>
                </c:pt>
                <c:pt idx="64">
                  <c:v>0.26434371181055977</c:v>
                </c:pt>
                <c:pt idx="65">
                  <c:v>0.26070570946522753</c:v>
                </c:pt>
                <c:pt idx="66">
                  <c:v>0.26406201501200538</c:v>
                </c:pt>
                <c:pt idx="67">
                  <c:v>0.26330314683890194</c:v>
                </c:pt>
                <c:pt idx="68">
                  <c:v>0.26472125976924943</c:v>
                </c:pt>
                <c:pt idx="69">
                  <c:v>0.26098164313778471</c:v>
                </c:pt>
                <c:pt idx="70">
                  <c:v>0.25770346540959999</c:v>
                </c:pt>
                <c:pt idx="71">
                  <c:v>0.25548989692024093</c:v>
                </c:pt>
                <c:pt idx="72">
                  <c:v>0.25608711263920947</c:v>
                </c:pt>
                <c:pt idx="73">
                  <c:v>0.25807940526478873</c:v>
                </c:pt>
                <c:pt idx="74">
                  <c:v>0.26394264554816738</c:v>
                </c:pt>
                <c:pt idx="75">
                  <c:v>0.26230509776750016</c:v>
                </c:pt>
                <c:pt idx="76">
                  <c:v>0.26264968091218271</c:v>
                </c:pt>
                <c:pt idx="77">
                  <c:v>0.25975264491265743</c:v>
                </c:pt>
                <c:pt idx="78">
                  <c:v>0.2675053490446605</c:v>
                </c:pt>
              </c:numCache>
            </c:numRef>
          </c:val>
          <c:smooth val="0"/>
          <c:extLst>
            <c:ext xmlns:c16="http://schemas.microsoft.com/office/drawing/2014/chart" uri="{C3380CC4-5D6E-409C-BE32-E72D297353CC}">
              <c16:uniqueId val="{00000003-D553-45DB-B62A-9BCF6F04AA9A}"/>
            </c:ext>
          </c:extLst>
        </c:ser>
        <c:ser>
          <c:idx val="2"/>
          <c:order val="2"/>
          <c:tx>
            <c:strRef>
              <c:f>'Figura 11'!$G$12</c:f>
              <c:strCache>
                <c:ptCount val="1"/>
                <c:pt idx="0">
                  <c:v>Mujeres</c:v>
                </c:pt>
              </c:strCache>
            </c:strRef>
          </c:tx>
          <c:spPr>
            <a:ln w="28575" cap="rnd">
              <a:solidFill>
                <a:schemeClr val="accent1"/>
              </a:solidFill>
              <a:round/>
            </a:ln>
            <a:effectLst/>
          </c:spPr>
          <c:marker>
            <c:symbol val="none"/>
          </c:marker>
          <c:dLbls>
            <c:dLbl>
              <c:idx val="78"/>
              <c:layout>
                <c:manualLayout>
                  <c:x val="-1.1665534018937445E-16"/>
                  <c:y val="-2.1756021756021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553-45DB-B62A-9BCF6F04AA9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'Figura 11'!$D$13:$D$91</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11'!$G$13:$G$91</c:f>
              <c:numCache>
                <c:formatCode>0.0%</c:formatCode>
                <c:ptCount val="79"/>
                <c:pt idx="0">
                  <c:v>0.302929324963158</c:v>
                </c:pt>
                <c:pt idx="1">
                  <c:v>0.30874613871296408</c:v>
                </c:pt>
                <c:pt idx="2">
                  <c:v>0.31557764529478616</c:v>
                </c:pt>
                <c:pt idx="3">
                  <c:v>0.31774652360837757</c:v>
                </c:pt>
                <c:pt idx="4">
                  <c:v>0.31225317723725626</c:v>
                </c:pt>
                <c:pt idx="5">
                  <c:v>0.30808752823742952</c:v>
                </c:pt>
                <c:pt idx="6">
                  <c:v>0.30576736399994042</c:v>
                </c:pt>
                <c:pt idx="7">
                  <c:v>0.30345595990458413</c:v>
                </c:pt>
                <c:pt idx="8">
                  <c:v>0.30178218893568087</c:v>
                </c:pt>
                <c:pt idx="9">
                  <c:v>0.30019202788113336</c:v>
                </c:pt>
                <c:pt idx="10">
                  <c:v>0.29663131385797847</c:v>
                </c:pt>
                <c:pt idx="11">
                  <c:v>0.29382879931311973</c:v>
                </c:pt>
                <c:pt idx="12">
                  <c:v>0.29401845812209509</c:v>
                </c:pt>
                <c:pt idx="13">
                  <c:v>0.30033411245147418</c:v>
                </c:pt>
                <c:pt idx="14">
                  <c:v>0.31110709594982427</c:v>
                </c:pt>
                <c:pt idx="15">
                  <c:v>0.30755049267131457</c:v>
                </c:pt>
                <c:pt idx="16">
                  <c:v>0.30050105646589143</c:v>
                </c:pt>
                <c:pt idx="17">
                  <c:v>0.28832258962190516</c:v>
                </c:pt>
                <c:pt idx="18">
                  <c:v>0.29205475913416895</c:v>
                </c:pt>
                <c:pt idx="19">
                  <c:v>0.29433451614406059</c:v>
                </c:pt>
                <c:pt idx="20">
                  <c:v>0.2953499215381844</c:v>
                </c:pt>
                <c:pt idx="21">
                  <c:v>0.29375662055329532</c:v>
                </c:pt>
                <c:pt idx="22">
                  <c:v>0.29579178705260428</c:v>
                </c:pt>
                <c:pt idx="23">
                  <c:v>0.29588411436589007</c:v>
                </c:pt>
                <c:pt idx="24">
                  <c:v>0.29594365971647046</c:v>
                </c:pt>
                <c:pt idx="25">
                  <c:v>0.29873960556421292</c:v>
                </c:pt>
                <c:pt idx="26">
                  <c:v>0.30598732958384955</c:v>
                </c:pt>
                <c:pt idx="27">
                  <c:v>0.30606062689406333</c:v>
                </c:pt>
                <c:pt idx="28">
                  <c:v>0.30597777279365534</c:v>
                </c:pt>
                <c:pt idx="29">
                  <c:v>0.30951191878365791</c:v>
                </c:pt>
                <c:pt idx="30">
                  <c:v>0.30779601690031749</c:v>
                </c:pt>
                <c:pt idx="31">
                  <c:v>0.27244538332085849</c:v>
                </c:pt>
                <c:pt idx="32">
                  <c:v>0.23976763680801702</c:v>
                </c:pt>
                <c:pt idx="33">
                  <c:v>0.22537001110643157</c:v>
                </c:pt>
                <c:pt idx="34">
                  <c:v>0.22877604034520227</c:v>
                </c:pt>
                <c:pt idx="35">
                  <c:v>0.23637450524351661</c:v>
                </c:pt>
                <c:pt idx="36">
                  <c:v>0.24171547653632949</c:v>
                </c:pt>
                <c:pt idx="37">
                  <c:v>0.25614245600389401</c:v>
                </c:pt>
                <c:pt idx="38">
                  <c:v>0.26250316281283304</c:v>
                </c:pt>
                <c:pt idx="39">
                  <c:v>0.27122707644756111</c:v>
                </c:pt>
                <c:pt idx="40">
                  <c:v>0.27549377625643068</c:v>
                </c:pt>
                <c:pt idx="41">
                  <c:v>0.2739715999680431</c:v>
                </c:pt>
                <c:pt idx="42">
                  <c:v>0.27560144415026633</c:v>
                </c:pt>
                <c:pt idx="43">
                  <c:v>0.26832000249881011</c:v>
                </c:pt>
                <c:pt idx="44">
                  <c:v>0.26752680875876061</c:v>
                </c:pt>
                <c:pt idx="45">
                  <c:v>0.26609913568025823</c:v>
                </c:pt>
                <c:pt idx="46">
                  <c:v>0.2744955977339345</c:v>
                </c:pt>
                <c:pt idx="47">
                  <c:v>0.27377575260153564</c:v>
                </c:pt>
                <c:pt idx="48">
                  <c:v>0.28270336437351112</c:v>
                </c:pt>
                <c:pt idx="49">
                  <c:v>0.28863171677108679</c:v>
                </c:pt>
                <c:pt idx="50">
                  <c:v>0.29847768263161012</c:v>
                </c:pt>
                <c:pt idx="51">
                  <c:v>0.29605847374003108</c:v>
                </c:pt>
                <c:pt idx="52">
                  <c:v>0.28877392584959299</c:v>
                </c:pt>
                <c:pt idx="53">
                  <c:v>0.28203093872896795</c:v>
                </c:pt>
                <c:pt idx="54">
                  <c:v>0.2751825664698746</c:v>
                </c:pt>
                <c:pt idx="55">
                  <c:v>0.2819699270074521</c:v>
                </c:pt>
                <c:pt idx="56">
                  <c:v>0.28394413818274605</c:v>
                </c:pt>
                <c:pt idx="57">
                  <c:v>0.28243272613960752</c:v>
                </c:pt>
                <c:pt idx="58">
                  <c:v>0.28074779095762548</c:v>
                </c:pt>
                <c:pt idx="59">
                  <c:v>0.28295394619226294</c:v>
                </c:pt>
                <c:pt idx="60">
                  <c:v>0.28874696013399903</c:v>
                </c:pt>
                <c:pt idx="61">
                  <c:v>0.29050978601588906</c:v>
                </c:pt>
                <c:pt idx="62">
                  <c:v>0.28279527452832703</c:v>
                </c:pt>
                <c:pt idx="63">
                  <c:v>0.2847919119969145</c:v>
                </c:pt>
                <c:pt idx="64">
                  <c:v>0.28403192558514423</c:v>
                </c:pt>
                <c:pt idx="65">
                  <c:v>0.28993557172300599</c:v>
                </c:pt>
                <c:pt idx="66">
                  <c:v>0.28863354179028378</c:v>
                </c:pt>
                <c:pt idx="67">
                  <c:v>0.2875336853176611</c:v>
                </c:pt>
                <c:pt idx="68">
                  <c:v>0.28609074965718984</c:v>
                </c:pt>
                <c:pt idx="69">
                  <c:v>0.28604167770522354</c:v>
                </c:pt>
                <c:pt idx="70">
                  <c:v>0.28311863276021082</c:v>
                </c:pt>
                <c:pt idx="71">
                  <c:v>0.2825941160992011</c:v>
                </c:pt>
                <c:pt idx="72">
                  <c:v>0.2808225803143144</c:v>
                </c:pt>
                <c:pt idx="73">
                  <c:v>0.28659403882434131</c:v>
                </c:pt>
                <c:pt idx="74">
                  <c:v>0.28871498180014316</c:v>
                </c:pt>
                <c:pt idx="75">
                  <c:v>0.29235627827631272</c:v>
                </c:pt>
                <c:pt idx="76">
                  <c:v>0.29237423809728247</c:v>
                </c:pt>
                <c:pt idx="77">
                  <c:v>0.29241273771747633</c:v>
                </c:pt>
                <c:pt idx="78">
                  <c:v>0.29879973718747171</c:v>
                </c:pt>
              </c:numCache>
            </c:numRef>
          </c:val>
          <c:smooth val="0"/>
          <c:extLst>
            <c:ext xmlns:c16="http://schemas.microsoft.com/office/drawing/2014/chart" uri="{C3380CC4-5D6E-409C-BE32-E72D297353CC}">
              <c16:uniqueId val="{00000005-D553-45DB-B62A-9BCF6F04AA9A}"/>
            </c:ext>
          </c:extLst>
        </c:ser>
        <c:dLbls>
          <c:showLegendKey val="0"/>
          <c:showVal val="0"/>
          <c:showCatName val="0"/>
          <c:showSerName val="0"/>
          <c:showPercent val="0"/>
          <c:showBubbleSize val="0"/>
        </c:dLbls>
        <c:smooth val="0"/>
        <c:axId val="1714421135"/>
        <c:axId val="1714421615"/>
      </c:lineChart>
      <c:catAx>
        <c:axId val="1714421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714421615"/>
        <c:crosses val="autoZero"/>
        <c:auto val="1"/>
        <c:lblAlgn val="ctr"/>
        <c:lblOffset val="100"/>
        <c:noMultiLvlLbl val="0"/>
      </c:catAx>
      <c:valAx>
        <c:axId val="1714421615"/>
        <c:scaling>
          <c:orientation val="minMax"/>
          <c:min val="0.2"/>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7144211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21E-4709-925F-2A7F00073FE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21E-4709-925F-2A7F00073FE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21E-4709-925F-2A7F00073FE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21E-4709-925F-2A7F00073FE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21E-4709-925F-2A7F00073FE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B21E-4709-925F-2A7F00073FE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12'!$M$15:$R$15</c:f>
              <c:strCache>
                <c:ptCount val="6"/>
                <c:pt idx="0">
                  <c:v>Empleadores</c:v>
                </c:pt>
                <c:pt idx="1">
                  <c:v>Trabajadores cuenta propia </c:v>
                </c:pt>
                <c:pt idx="2">
                  <c:v>Familiares no remunerados </c:v>
                </c:pt>
                <c:pt idx="3">
                  <c:v>Asalariados sector privado</c:v>
                </c:pt>
                <c:pt idx="4">
                  <c:v>Asalariados sector público</c:v>
                </c:pt>
                <c:pt idx="5">
                  <c:v>Personal de servicio doméstico</c:v>
                </c:pt>
              </c:strCache>
            </c:strRef>
          </c:cat>
          <c:val>
            <c:numRef>
              <c:f>'Figura 12'!$M$16:$R$16</c:f>
              <c:numCache>
                <c:formatCode>0%</c:formatCode>
                <c:ptCount val="6"/>
                <c:pt idx="0">
                  <c:v>2.218563399045953E-2</c:v>
                </c:pt>
                <c:pt idx="1">
                  <c:v>0.50123126893686432</c:v>
                </c:pt>
                <c:pt idx="2">
                  <c:v>2.3681076300867392E-2</c:v>
                </c:pt>
                <c:pt idx="3">
                  <c:v>0.35092167564121118</c:v>
                </c:pt>
                <c:pt idx="4">
                  <c:v>5.1599732203083164E-2</c:v>
                </c:pt>
                <c:pt idx="5">
                  <c:v>5.0380612927514216E-2</c:v>
                </c:pt>
              </c:numCache>
            </c:numRef>
          </c:val>
          <c:extLst>
            <c:ext xmlns:c16="http://schemas.microsoft.com/office/drawing/2014/chart" uri="{C3380CC4-5D6E-409C-BE32-E72D297353CC}">
              <c16:uniqueId val="{0000000C-B21E-4709-925F-2A7F00073FEA}"/>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'Figura 13'!$S$15</c:f>
              <c:strCache>
                <c:ptCount val="1"/>
                <c:pt idx="0">
                  <c:v>Total ocupadas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13'!$S$16:$S$94</c:f>
            </c:numRef>
          </c:val>
          <c:smooth val="0"/>
          <c:extLst>
            <c:ext xmlns:c16="http://schemas.microsoft.com/office/drawing/2014/chart" uri="{C3380CC4-5D6E-409C-BE32-E72D297353CC}">
              <c16:uniqueId val="{00000000-DD3B-41BE-80B5-55C255395E30}"/>
            </c:ext>
          </c:extLst>
        </c:ser>
        <c:ser>
          <c:idx val="1"/>
          <c:order val="1"/>
          <c:tx>
            <c:strRef>
              <c:f>'Figura 13'!$T$15</c:f>
              <c:strCache>
                <c:ptCount val="1"/>
                <c:pt idx="0">
                  <c:v>Empleadores (informales)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13'!$T$16:$T$94</c:f>
            </c:numRef>
          </c:val>
          <c:smooth val="0"/>
          <c:extLst>
            <c:ext xmlns:c16="http://schemas.microsoft.com/office/drawing/2014/chart" uri="{C3380CC4-5D6E-409C-BE32-E72D297353CC}">
              <c16:uniqueId val="{00000001-DD3B-41BE-80B5-55C255395E30}"/>
            </c:ext>
          </c:extLst>
        </c:ser>
        <c:ser>
          <c:idx val="2"/>
          <c:order val="2"/>
          <c:tx>
            <c:strRef>
              <c:f>'Figura 13'!$U$15</c:f>
              <c:strCache>
                <c:ptCount val="1"/>
                <c:pt idx="0">
                  <c:v>Trabajadores cuenta propia  (informales)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13'!$U$16:$U$94</c:f>
            </c:numRef>
          </c:val>
          <c:smooth val="0"/>
          <c:extLst>
            <c:ext xmlns:c16="http://schemas.microsoft.com/office/drawing/2014/chart" uri="{C3380CC4-5D6E-409C-BE32-E72D297353CC}">
              <c16:uniqueId val="{00000002-DD3B-41BE-80B5-55C255395E30}"/>
            </c:ext>
          </c:extLst>
        </c:ser>
        <c:ser>
          <c:idx val="3"/>
          <c:order val="3"/>
          <c:tx>
            <c:strRef>
              <c:f>'Figura 13'!$V$15</c:f>
              <c:strCache>
                <c:ptCount val="1"/>
                <c:pt idx="0">
                  <c:v>Familiares no remunerados  (informales)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13'!$V$16:$V$94</c:f>
            </c:numRef>
          </c:val>
          <c:smooth val="0"/>
          <c:extLst>
            <c:ext xmlns:c16="http://schemas.microsoft.com/office/drawing/2014/chart" uri="{C3380CC4-5D6E-409C-BE32-E72D297353CC}">
              <c16:uniqueId val="{00000003-DD3B-41BE-80B5-55C255395E30}"/>
            </c:ext>
          </c:extLst>
        </c:ser>
        <c:ser>
          <c:idx val="4"/>
          <c:order val="4"/>
          <c:tx>
            <c:strRef>
              <c:f>'Figura 13'!$W$15</c:f>
              <c:strCache>
                <c:ptCount val="1"/>
                <c:pt idx="0">
                  <c:v>Asalariados sector privado (informales)</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13'!$W$16:$W$94</c:f>
            </c:numRef>
          </c:val>
          <c:smooth val="0"/>
          <c:extLst>
            <c:ext xmlns:c16="http://schemas.microsoft.com/office/drawing/2014/chart" uri="{C3380CC4-5D6E-409C-BE32-E72D297353CC}">
              <c16:uniqueId val="{00000004-DD3B-41BE-80B5-55C255395E30}"/>
            </c:ext>
          </c:extLst>
        </c:ser>
        <c:ser>
          <c:idx val="5"/>
          <c:order val="5"/>
          <c:tx>
            <c:strRef>
              <c:f>'Figura 13'!$X$15</c:f>
              <c:strCache>
                <c:ptCount val="1"/>
                <c:pt idx="0">
                  <c:v>Asalariados sector público (informales)</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13'!$X$16:$X$94</c:f>
            </c:numRef>
          </c:val>
          <c:smooth val="0"/>
          <c:extLst>
            <c:ext xmlns:c16="http://schemas.microsoft.com/office/drawing/2014/chart" uri="{C3380CC4-5D6E-409C-BE32-E72D297353CC}">
              <c16:uniqueId val="{00000005-DD3B-41BE-80B5-55C255395E30}"/>
            </c:ext>
          </c:extLst>
        </c:ser>
        <c:ser>
          <c:idx val="6"/>
          <c:order val="6"/>
          <c:tx>
            <c:strRef>
              <c:f>'Figura 13'!$Y$15</c:f>
              <c:strCache>
                <c:ptCount val="1"/>
                <c:pt idx="0">
                  <c:v>Personal de servicio doméstico (informales)</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13'!$Y$16:$Y$94</c:f>
            </c:numRef>
          </c:val>
          <c:smooth val="0"/>
          <c:extLst>
            <c:ext xmlns:c16="http://schemas.microsoft.com/office/drawing/2014/chart" uri="{C3380CC4-5D6E-409C-BE32-E72D297353CC}">
              <c16:uniqueId val="{00000006-DD3B-41BE-80B5-55C255395E30}"/>
            </c:ext>
          </c:extLst>
        </c:ser>
        <c:ser>
          <c:idx val="7"/>
          <c:order val="7"/>
          <c:tx>
            <c:strRef>
              <c:f>'Figura 13'!$Z$15</c:f>
              <c:strCache>
                <c:ptCount val="1"/>
                <c:pt idx="0">
                  <c:v>Empleadores</c:v>
                </c:pt>
              </c:strCache>
            </c:strRef>
          </c:tx>
          <c:spPr>
            <a:ln w="28575" cap="rnd">
              <a:solidFill>
                <a:schemeClr val="accent2">
                  <a:lumMod val="60000"/>
                </a:schemeClr>
              </a:solidFill>
              <a:round/>
            </a:ln>
            <a:effectLst/>
          </c:spPr>
          <c:marker>
            <c:symbol val="none"/>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13'!$Z$16:$Z$94</c:f>
              <c:numCache>
                <c:formatCode>0.0%</c:formatCode>
                <c:ptCount val="79"/>
                <c:pt idx="0">
                  <c:v>0.16515043398664303</c:v>
                </c:pt>
                <c:pt idx="1">
                  <c:v>0.15371298299149611</c:v>
                </c:pt>
                <c:pt idx="2">
                  <c:v>0.14115759157709251</c:v>
                </c:pt>
                <c:pt idx="3">
                  <c:v>0.14036030193003268</c:v>
                </c:pt>
                <c:pt idx="4">
                  <c:v>0.13785030297604767</c:v>
                </c:pt>
                <c:pt idx="5">
                  <c:v>0.13452932423641895</c:v>
                </c:pt>
                <c:pt idx="6">
                  <c:v>0.12349200247395625</c:v>
                </c:pt>
                <c:pt idx="7">
                  <c:v>0.1116906578110524</c:v>
                </c:pt>
                <c:pt idx="8">
                  <c:v>0.11456331523256805</c:v>
                </c:pt>
                <c:pt idx="9">
                  <c:v>0.1133177658083071</c:v>
                </c:pt>
                <c:pt idx="10">
                  <c:v>0.11729640305285005</c:v>
                </c:pt>
                <c:pt idx="11">
                  <c:v>0.11056662755656547</c:v>
                </c:pt>
                <c:pt idx="12">
                  <c:v>9.8133628465095948E-2</c:v>
                </c:pt>
                <c:pt idx="13">
                  <c:v>0.12157336896108324</c:v>
                </c:pt>
                <c:pt idx="14">
                  <c:v>0.13228439738110989</c:v>
                </c:pt>
                <c:pt idx="15">
                  <c:v>0.1475067796025076</c:v>
                </c:pt>
                <c:pt idx="16">
                  <c:v>0.129758354227926</c:v>
                </c:pt>
                <c:pt idx="17">
                  <c:v>0.12592812175811893</c:v>
                </c:pt>
                <c:pt idx="18">
                  <c:v>0.12686594638919552</c:v>
                </c:pt>
                <c:pt idx="19">
                  <c:v>0.13459767080524079</c:v>
                </c:pt>
                <c:pt idx="20">
                  <c:v>0.12919039832429041</c:v>
                </c:pt>
                <c:pt idx="21">
                  <c:v>0.12915878509095469</c:v>
                </c:pt>
                <c:pt idx="22">
                  <c:v>0.11501092985016233</c:v>
                </c:pt>
                <c:pt idx="23">
                  <c:v>0.12814748049304728</c:v>
                </c:pt>
                <c:pt idx="24">
                  <c:v>0.13204618029786189</c:v>
                </c:pt>
                <c:pt idx="25">
                  <c:v>0.15429392359126029</c:v>
                </c:pt>
                <c:pt idx="26">
                  <c:v>0.14894574670935759</c:v>
                </c:pt>
                <c:pt idx="27">
                  <c:v>0.13326710027335836</c:v>
                </c:pt>
                <c:pt idx="28">
                  <c:v>0.13651208993590164</c:v>
                </c:pt>
                <c:pt idx="29">
                  <c:v>0.15965581710197241</c:v>
                </c:pt>
                <c:pt idx="30">
                  <c:v>0.18742352172096016</c:v>
                </c:pt>
                <c:pt idx="31">
                  <c:v>0.18148655298358804</c:v>
                </c:pt>
                <c:pt idx="32">
                  <c:v>0.14998842152695493</c:v>
                </c:pt>
                <c:pt idx="33">
                  <c:v>0.11879985005909424</c:v>
                </c:pt>
                <c:pt idx="34">
                  <c:v>0.10535881684150379</c:v>
                </c:pt>
                <c:pt idx="35">
                  <c:v>9.8331372456985019E-2</c:v>
                </c:pt>
                <c:pt idx="36">
                  <c:v>0.11136494613588308</c:v>
                </c:pt>
                <c:pt idx="37">
                  <c:v>0.12076453195340763</c:v>
                </c:pt>
                <c:pt idx="38">
                  <c:v>0.11565079251072394</c:v>
                </c:pt>
                <c:pt idx="39">
                  <c:v>0.11693087840534458</c:v>
                </c:pt>
                <c:pt idx="40">
                  <c:v>0.11159391315299243</c:v>
                </c:pt>
                <c:pt idx="41">
                  <c:v>0.11984450883351919</c:v>
                </c:pt>
                <c:pt idx="42">
                  <c:v>0.14111540125782865</c:v>
                </c:pt>
                <c:pt idx="43">
                  <c:v>0.15544319639850626</c:v>
                </c:pt>
                <c:pt idx="44">
                  <c:v>0.15666081925730191</c:v>
                </c:pt>
                <c:pt idx="45">
                  <c:v>0.14661470047637565</c:v>
                </c:pt>
                <c:pt idx="46">
                  <c:v>0.13162357819262169</c:v>
                </c:pt>
                <c:pt idx="47">
                  <c:v>0.14752596629752909</c:v>
                </c:pt>
                <c:pt idx="48">
                  <c:v>0.14399337793908801</c:v>
                </c:pt>
                <c:pt idx="49">
                  <c:v>0.1493799548503372</c:v>
                </c:pt>
                <c:pt idx="50">
                  <c:v>0.13806686826324965</c:v>
                </c:pt>
                <c:pt idx="51">
                  <c:v>0.14432243395923131</c:v>
                </c:pt>
                <c:pt idx="52">
                  <c:v>0.1500942674627595</c:v>
                </c:pt>
                <c:pt idx="53">
                  <c:v>0.15891225404578901</c:v>
                </c:pt>
                <c:pt idx="54">
                  <c:v>0.15221053013240154</c:v>
                </c:pt>
                <c:pt idx="55">
                  <c:v>0.14505919659543728</c:v>
                </c:pt>
                <c:pt idx="56">
                  <c:v>0.13015167063542171</c:v>
                </c:pt>
                <c:pt idx="57">
                  <c:v>0.12309321601052746</c:v>
                </c:pt>
                <c:pt idx="58">
                  <c:v>0.12304198382217013</c:v>
                </c:pt>
                <c:pt idx="59">
                  <c:v>0.12432555753519021</c:v>
                </c:pt>
                <c:pt idx="60">
                  <c:v>0.13392686253233727</c:v>
                </c:pt>
                <c:pt idx="61">
                  <c:v>0.13535137132624914</c:v>
                </c:pt>
                <c:pt idx="62">
                  <c:v>0.13369544983331469</c:v>
                </c:pt>
                <c:pt idx="63">
                  <c:v>0.1459002596949254</c:v>
                </c:pt>
                <c:pt idx="64">
                  <c:v>0.1615407917116107</c:v>
                </c:pt>
                <c:pt idx="65">
                  <c:v>0.16093836783041462</c:v>
                </c:pt>
                <c:pt idx="66">
                  <c:v>0.14020576203413102</c:v>
                </c:pt>
                <c:pt idx="67">
                  <c:v>0.12880292314617348</c:v>
                </c:pt>
                <c:pt idx="68">
                  <c:v>0.14480295936497431</c:v>
                </c:pt>
                <c:pt idx="69">
                  <c:v>0.14958225156109223</c:v>
                </c:pt>
                <c:pt idx="70">
                  <c:v>0.1373105876400916</c:v>
                </c:pt>
                <c:pt idx="71">
                  <c:v>0.12149752947973398</c:v>
                </c:pt>
                <c:pt idx="72">
                  <c:v>0.11576186103502976</c:v>
                </c:pt>
                <c:pt idx="73">
                  <c:v>0.13169505530613723</c:v>
                </c:pt>
                <c:pt idx="74">
                  <c:v>0.14323296095660357</c:v>
                </c:pt>
                <c:pt idx="75">
                  <c:v>0.16511115982928026</c:v>
                </c:pt>
                <c:pt idx="76">
                  <c:v>0.16019248058068519</c:v>
                </c:pt>
                <c:pt idx="77">
                  <c:v>0.15861840868182353</c:v>
                </c:pt>
                <c:pt idx="78">
                  <c:v>0.2014438149510174</c:v>
                </c:pt>
              </c:numCache>
            </c:numRef>
          </c:val>
          <c:smooth val="0"/>
          <c:extLst>
            <c:ext xmlns:c16="http://schemas.microsoft.com/office/drawing/2014/chart" uri="{C3380CC4-5D6E-409C-BE32-E72D297353CC}">
              <c16:uniqueId val="{00000007-DD3B-41BE-80B5-55C255395E30}"/>
            </c:ext>
          </c:extLst>
        </c:ser>
        <c:ser>
          <c:idx val="8"/>
          <c:order val="8"/>
          <c:tx>
            <c:strRef>
              <c:f>'Figura 13'!$AA$15</c:f>
              <c:strCache>
                <c:ptCount val="1"/>
                <c:pt idx="0">
                  <c:v>Trabajadores cuenta propia </c:v>
                </c:pt>
              </c:strCache>
            </c:strRef>
          </c:tx>
          <c:spPr>
            <a:ln w="28575" cap="rnd">
              <a:solidFill>
                <a:schemeClr val="accent3">
                  <a:lumMod val="60000"/>
                </a:schemeClr>
              </a:solidFill>
              <a:round/>
            </a:ln>
            <a:effectLst/>
          </c:spPr>
          <c:marker>
            <c:symbol val="none"/>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13'!$AA$16:$AA$94</c:f>
              <c:numCache>
                <c:formatCode>0.0%</c:formatCode>
                <c:ptCount val="79"/>
                <c:pt idx="0">
                  <c:v>0.62968441313802348</c:v>
                </c:pt>
                <c:pt idx="1">
                  <c:v>0.63545245843308917</c:v>
                </c:pt>
                <c:pt idx="2">
                  <c:v>0.63873894491388239</c:v>
                </c:pt>
                <c:pt idx="3">
                  <c:v>0.6436782404963779</c:v>
                </c:pt>
                <c:pt idx="4">
                  <c:v>0.6351795022801191</c:v>
                </c:pt>
                <c:pt idx="5">
                  <c:v>0.63514185533287826</c:v>
                </c:pt>
                <c:pt idx="6">
                  <c:v>0.63478833422837577</c:v>
                </c:pt>
                <c:pt idx="7">
                  <c:v>0.64116016225560701</c:v>
                </c:pt>
                <c:pt idx="8">
                  <c:v>0.64468482945618566</c:v>
                </c:pt>
                <c:pt idx="9">
                  <c:v>0.64277610678335029</c:v>
                </c:pt>
                <c:pt idx="10">
                  <c:v>0.63930267971138521</c:v>
                </c:pt>
                <c:pt idx="11">
                  <c:v>0.63599227300534378</c:v>
                </c:pt>
                <c:pt idx="12">
                  <c:v>0.63495693403143338</c:v>
                </c:pt>
                <c:pt idx="13">
                  <c:v>0.64959270245226386</c:v>
                </c:pt>
                <c:pt idx="14">
                  <c:v>0.65851358816952144</c:v>
                </c:pt>
                <c:pt idx="15">
                  <c:v>0.66040833942480415</c:v>
                </c:pt>
                <c:pt idx="16">
                  <c:v>0.65405741316359189</c:v>
                </c:pt>
                <c:pt idx="17">
                  <c:v>0.64172521890497125</c:v>
                </c:pt>
                <c:pt idx="18">
                  <c:v>0.6484387210999738</c:v>
                </c:pt>
                <c:pt idx="19">
                  <c:v>0.64911400502130245</c:v>
                </c:pt>
                <c:pt idx="20">
                  <c:v>0.65058379707824832</c:v>
                </c:pt>
                <c:pt idx="21">
                  <c:v>0.64706828183287524</c:v>
                </c:pt>
                <c:pt idx="22">
                  <c:v>0.64529930157538029</c:v>
                </c:pt>
                <c:pt idx="23">
                  <c:v>0.6453566185571451</c:v>
                </c:pt>
                <c:pt idx="24">
                  <c:v>0.65281736226314002</c:v>
                </c:pt>
                <c:pt idx="25">
                  <c:v>0.67024105498695019</c:v>
                </c:pt>
                <c:pt idx="26">
                  <c:v>0.67347794420664631</c:v>
                </c:pt>
                <c:pt idx="27">
                  <c:v>0.67652169397643547</c:v>
                </c:pt>
                <c:pt idx="28">
                  <c:v>0.66241520165958867</c:v>
                </c:pt>
                <c:pt idx="29">
                  <c:v>0.67287132278202832</c:v>
                </c:pt>
                <c:pt idx="30">
                  <c:v>0.66547450459790425</c:v>
                </c:pt>
                <c:pt idx="31">
                  <c:v>0.65966074942907638</c:v>
                </c:pt>
                <c:pt idx="32">
                  <c:v>0.64334155260108283</c:v>
                </c:pt>
                <c:pt idx="33">
                  <c:v>0.63545063239167876</c:v>
                </c:pt>
                <c:pt idx="34">
                  <c:v>0.61356366777350779</c:v>
                </c:pt>
                <c:pt idx="35">
                  <c:v>0.601608900991492</c:v>
                </c:pt>
                <c:pt idx="36">
                  <c:v>0.62155778014481644</c:v>
                </c:pt>
                <c:pt idx="37">
                  <c:v>0.6387222623583404</c:v>
                </c:pt>
                <c:pt idx="38">
                  <c:v>0.66672622075589683</c:v>
                </c:pt>
                <c:pt idx="39">
                  <c:v>0.67003907944915053</c:v>
                </c:pt>
                <c:pt idx="40">
                  <c:v>0.66958078198522586</c:v>
                </c:pt>
                <c:pt idx="41">
                  <c:v>0.661804998870551</c:v>
                </c:pt>
                <c:pt idx="42">
                  <c:v>0.67390589365585751</c:v>
                </c:pt>
                <c:pt idx="43">
                  <c:v>0.67727304194626137</c:v>
                </c:pt>
                <c:pt idx="44">
                  <c:v>0.67737465517907414</c:v>
                </c:pt>
                <c:pt idx="45">
                  <c:v>0.67222316716770913</c:v>
                </c:pt>
                <c:pt idx="46">
                  <c:v>0.68892452459440823</c:v>
                </c:pt>
                <c:pt idx="47">
                  <c:v>0.6901156338545239</c:v>
                </c:pt>
                <c:pt idx="48">
                  <c:v>0.69507240556733629</c:v>
                </c:pt>
                <c:pt idx="49">
                  <c:v>0.69907519815321439</c:v>
                </c:pt>
                <c:pt idx="50">
                  <c:v>0.70246519339799807</c:v>
                </c:pt>
                <c:pt idx="51">
                  <c:v>0.7094635819978321</c:v>
                </c:pt>
                <c:pt idx="52">
                  <c:v>0.70494811428536674</c:v>
                </c:pt>
                <c:pt idx="53">
                  <c:v>0.70407974353809855</c:v>
                </c:pt>
                <c:pt idx="54">
                  <c:v>0.69398232547184102</c:v>
                </c:pt>
                <c:pt idx="55">
                  <c:v>0.691889358749878</c:v>
                </c:pt>
                <c:pt idx="56">
                  <c:v>0.69249898049174019</c:v>
                </c:pt>
                <c:pt idx="57">
                  <c:v>0.68977579159028923</c:v>
                </c:pt>
                <c:pt idx="58">
                  <c:v>0.68424879519921589</c:v>
                </c:pt>
                <c:pt idx="59">
                  <c:v>0.68408117590028084</c:v>
                </c:pt>
                <c:pt idx="60">
                  <c:v>0.67741948025087451</c:v>
                </c:pt>
                <c:pt idx="61">
                  <c:v>0.68231929985490958</c:v>
                </c:pt>
                <c:pt idx="62">
                  <c:v>0.67737375884480289</c:v>
                </c:pt>
                <c:pt idx="63">
                  <c:v>0.68520550526673252</c:v>
                </c:pt>
                <c:pt idx="64">
                  <c:v>0.68567296031715552</c:v>
                </c:pt>
                <c:pt idx="65">
                  <c:v>0.6810626890584528</c:v>
                </c:pt>
                <c:pt idx="66">
                  <c:v>0.68954725487521384</c:v>
                </c:pt>
                <c:pt idx="67">
                  <c:v>0.68189694791702893</c:v>
                </c:pt>
                <c:pt idx="68">
                  <c:v>0.68729794607007599</c:v>
                </c:pt>
                <c:pt idx="69">
                  <c:v>0.67238036255973166</c:v>
                </c:pt>
                <c:pt idx="70">
                  <c:v>0.67143522217300944</c:v>
                </c:pt>
                <c:pt idx="71">
                  <c:v>0.66227115462619546</c:v>
                </c:pt>
                <c:pt idx="72">
                  <c:v>0.66977522546180657</c:v>
                </c:pt>
                <c:pt idx="73">
                  <c:v>0.67314353928195403</c:v>
                </c:pt>
                <c:pt idx="74">
                  <c:v>0.68500909681939204</c:v>
                </c:pt>
                <c:pt idx="75">
                  <c:v>0.68017299793233987</c:v>
                </c:pt>
                <c:pt idx="76">
                  <c:v>0.68081535453485609</c:v>
                </c:pt>
                <c:pt idx="77">
                  <c:v>0.67456863499448372</c:v>
                </c:pt>
                <c:pt idx="78">
                  <c:v>0.70205590379693061</c:v>
                </c:pt>
              </c:numCache>
            </c:numRef>
          </c:val>
          <c:smooth val="0"/>
          <c:extLst>
            <c:ext xmlns:c16="http://schemas.microsoft.com/office/drawing/2014/chart" uri="{C3380CC4-5D6E-409C-BE32-E72D297353CC}">
              <c16:uniqueId val="{00000008-DD3B-41BE-80B5-55C255395E30}"/>
            </c:ext>
          </c:extLst>
        </c:ser>
        <c:ser>
          <c:idx val="9"/>
          <c:order val="9"/>
          <c:tx>
            <c:strRef>
              <c:f>'Figura 13'!$AB$15</c:f>
              <c:strCache>
                <c:ptCount val="1"/>
                <c:pt idx="0">
                  <c:v>Asalariados sector privado</c:v>
                </c:pt>
              </c:strCache>
            </c:strRef>
          </c:tx>
          <c:spPr>
            <a:ln w="28575" cap="rnd">
              <a:solidFill>
                <a:schemeClr val="accent4">
                  <a:lumMod val="60000"/>
                </a:schemeClr>
              </a:solidFill>
              <a:round/>
            </a:ln>
            <a:effectLst/>
          </c:spPr>
          <c:marker>
            <c:symbol val="none"/>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13'!$AB$16:$AB$94</c:f>
              <c:numCache>
                <c:formatCode>0.0%</c:formatCode>
                <c:ptCount val="79"/>
                <c:pt idx="0">
                  <c:v>0.17480454921241748</c:v>
                </c:pt>
                <c:pt idx="1">
                  <c:v>0.1811325793187793</c:v>
                </c:pt>
                <c:pt idx="2">
                  <c:v>0.18851695879817348</c:v>
                </c:pt>
                <c:pt idx="3">
                  <c:v>0.19264482805215194</c:v>
                </c:pt>
                <c:pt idx="4">
                  <c:v>0.18838344258414466</c:v>
                </c:pt>
                <c:pt idx="5">
                  <c:v>0.18964929802397845</c:v>
                </c:pt>
                <c:pt idx="6">
                  <c:v>0.18327250426001299</c:v>
                </c:pt>
                <c:pt idx="7">
                  <c:v>0.1803413617616737</c:v>
                </c:pt>
                <c:pt idx="8">
                  <c:v>0.17316967783085432</c:v>
                </c:pt>
                <c:pt idx="9">
                  <c:v>0.17446973231491619</c:v>
                </c:pt>
                <c:pt idx="10">
                  <c:v>0.17035099378040366</c:v>
                </c:pt>
                <c:pt idx="11">
                  <c:v>0.17070832219696933</c:v>
                </c:pt>
                <c:pt idx="12">
                  <c:v>0.16778249352473815</c:v>
                </c:pt>
                <c:pt idx="13">
                  <c:v>0.17339230649198303</c:v>
                </c:pt>
                <c:pt idx="14">
                  <c:v>0.17720043584960821</c:v>
                </c:pt>
                <c:pt idx="15">
                  <c:v>0.18061496348770353</c:v>
                </c:pt>
                <c:pt idx="16">
                  <c:v>0.17800433892015613</c:v>
                </c:pt>
                <c:pt idx="17">
                  <c:v>0.1754975567389605</c:v>
                </c:pt>
                <c:pt idx="18">
                  <c:v>0.17001839402824293</c:v>
                </c:pt>
                <c:pt idx="19">
                  <c:v>0.16860362222759001</c:v>
                </c:pt>
                <c:pt idx="20">
                  <c:v>0.16638523794603111</c:v>
                </c:pt>
                <c:pt idx="21">
                  <c:v>0.16875218911892545</c:v>
                </c:pt>
                <c:pt idx="22">
                  <c:v>0.16928593820217996</c:v>
                </c:pt>
                <c:pt idx="23">
                  <c:v>0.17022700091007947</c:v>
                </c:pt>
                <c:pt idx="24">
                  <c:v>0.16458550009956249</c:v>
                </c:pt>
                <c:pt idx="25">
                  <c:v>0.16642986511645527</c:v>
                </c:pt>
                <c:pt idx="26">
                  <c:v>0.18000492549856764</c:v>
                </c:pt>
                <c:pt idx="27">
                  <c:v>0.18356864922574909</c:v>
                </c:pt>
                <c:pt idx="28">
                  <c:v>0.18700518996272864</c:v>
                </c:pt>
                <c:pt idx="29">
                  <c:v>0.17919261843479556</c:v>
                </c:pt>
                <c:pt idx="30">
                  <c:v>0.18184954331426784</c:v>
                </c:pt>
                <c:pt idx="31">
                  <c:v>0.15990872566845188</c:v>
                </c:pt>
                <c:pt idx="32">
                  <c:v>0.13727762338849855</c:v>
                </c:pt>
                <c:pt idx="33">
                  <c:v>0.1276835287530324</c:v>
                </c:pt>
                <c:pt idx="34">
                  <c:v>0.1261420029986644</c:v>
                </c:pt>
                <c:pt idx="35">
                  <c:v>0.1314186193006604</c:v>
                </c:pt>
                <c:pt idx="36">
                  <c:v>0.13618505169559453</c:v>
                </c:pt>
                <c:pt idx="37">
                  <c:v>0.14874189190884146</c:v>
                </c:pt>
                <c:pt idx="38">
                  <c:v>0.1541844538643373</c:v>
                </c:pt>
                <c:pt idx="39">
                  <c:v>0.15822888272127911</c:v>
                </c:pt>
                <c:pt idx="40">
                  <c:v>0.16041710789982452</c:v>
                </c:pt>
                <c:pt idx="41">
                  <c:v>0.15515300765655568</c:v>
                </c:pt>
                <c:pt idx="42">
                  <c:v>0.15180551636152106</c:v>
                </c:pt>
                <c:pt idx="43">
                  <c:v>0.14285718382823534</c:v>
                </c:pt>
                <c:pt idx="44">
                  <c:v>0.13833964411052052</c:v>
                </c:pt>
                <c:pt idx="45">
                  <c:v>0.13780843588280417</c:v>
                </c:pt>
                <c:pt idx="46">
                  <c:v>0.14035154971229691</c:v>
                </c:pt>
                <c:pt idx="47">
                  <c:v>0.14365448925565708</c:v>
                </c:pt>
                <c:pt idx="48">
                  <c:v>0.14603655430968099</c:v>
                </c:pt>
                <c:pt idx="49">
                  <c:v>0.14819065478297663</c:v>
                </c:pt>
                <c:pt idx="50">
                  <c:v>0.14870524207582519</c:v>
                </c:pt>
                <c:pt idx="51">
                  <c:v>0.14744076344118148</c:v>
                </c:pt>
                <c:pt idx="52">
                  <c:v>0.1507972312792443</c:v>
                </c:pt>
                <c:pt idx="53">
                  <c:v>0.15484340651274839</c:v>
                </c:pt>
                <c:pt idx="54">
                  <c:v>0.15206510710519955</c:v>
                </c:pt>
                <c:pt idx="55">
                  <c:v>0.1489156508531666</c:v>
                </c:pt>
                <c:pt idx="56">
                  <c:v>0.14580428955560795</c:v>
                </c:pt>
                <c:pt idx="57">
                  <c:v>0.14526280191298449</c:v>
                </c:pt>
                <c:pt idx="58">
                  <c:v>0.14244319044168691</c:v>
                </c:pt>
                <c:pt idx="59">
                  <c:v>0.14254450391048779</c:v>
                </c:pt>
                <c:pt idx="60">
                  <c:v>0.14694226609481204</c:v>
                </c:pt>
                <c:pt idx="61">
                  <c:v>0.15306581292248397</c:v>
                </c:pt>
                <c:pt idx="62">
                  <c:v>0.15461468672629361</c:v>
                </c:pt>
                <c:pt idx="63">
                  <c:v>0.15248519464010352</c:v>
                </c:pt>
                <c:pt idx="64">
                  <c:v>0.15433655276019514</c:v>
                </c:pt>
                <c:pt idx="65">
                  <c:v>0.15478366562342843</c:v>
                </c:pt>
                <c:pt idx="66">
                  <c:v>0.15670197941915981</c:v>
                </c:pt>
                <c:pt idx="67">
                  <c:v>0.15546895232190666</c:v>
                </c:pt>
                <c:pt idx="68">
                  <c:v>0.15361973098382009</c:v>
                </c:pt>
                <c:pt idx="69">
                  <c:v>0.15391833591483856</c:v>
                </c:pt>
                <c:pt idx="70">
                  <c:v>0.14974909366758349</c:v>
                </c:pt>
                <c:pt idx="71">
                  <c:v>0.15009194346421714</c:v>
                </c:pt>
                <c:pt idx="72">
                  <c:v>0.14829607449693041</c:v>
                </c:pt>
                <c:pt idx="73">
                  <c:v>0.15024046755767625</c:v>
                </c:pt>
                <c:pt idx="74">
                  <c:v>0.15232261020088858</c:v>
                </c:pt>
                <c:pt idx="75">
                  <c:v>0.15416332921945827</c:v>
                </c:pt>
                <c:pt idx="76">
                  <c:v>0.15942130976203797</c:v>
                </c:pt>
                <c:pt idx="77">
                  <c:v>0.16217254017042554</c:v>
                </c:pt>
                <c:pt idx="78">
                  <c:v>0.16209009424919985</c:v>
                </c:pt>
              </c:numCache>
            </c:numRef>
          </c:val>
          <c:smooth val="0"/>
          <c:extLst>
            <c:ext xmlns:c16="http://schemas.microsoft.com/office/drawing/2014/chart" uri="{C3380CC4-5D6E-409C-BE32-E72D297353CC}">
              <c16:uniqueId val="{00000009-DD3B-41BE-80B5-55C255395E30}"/>
            </c:ext>
          </c:extLst>
        </c:ser>
        <c:ser>
          <c:idx val="10"/>
          <c:order val="10"/>
          <c:tx>
            <c:strRef>
              <c:f>'Figura 13'!$AC$15</c:f>
              <c:strCache>
                <c:ptCount val="1"/>
                <c:pt idx="0">
                  <c:v>Asalariados sector público</c:v>
                </c:pt>
              </c:strCache>
            </c:strRef>
          </c:tx>
          <c:spPr>
            <a:ln w="28575" cap="rnd">
              <a:solidFill>
                <a:schemeClr val="accent5">
                  <a:lumMod val="60000"/>
                </a:schemeClr>
              </a:solidFill>
              <a:round/>
            </a:ln>
            <a:effectLst/>
          </c:spPr>
          <c:marker>
            <c:symbol val="none"/>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13'!$AC$16:$AC$94</c:f>
              <c:numCache>
                <c:formatCode>0.0%</c:formatCode>
                <c:ptCount val="79"/>
                <c:pt idx="0">
                  <c:v>0.12687672266537109</c:v>
                </c:pt>
                <c:pt idx="1">
                  <c:v>0.13167701602980239</c:v>
                </c:pt>
                <c:pt idx="2">
                  <c:v>0.14149502015494608</c:v>
                </c:pt>
                <c:pt idx="3">
                  <c:v>0.14543586377032136</c:v>
                </c:pt>
                <c:pt idx="4">
                  <c:v>0.13682931783380911</c:v>
                </c:pt>
                <c:pt idx="5">
                  <c:v>0.13010947957038677</c:v>
                </c:pt>
                <c:pt idx="6">
                  <c:v>0.12969032597941063</c:v>
                </c:pt>
                <c:pt idx="7">
                  <c:v>0.12810974209016013</c:v>
                </c:pt>
                <c:pt idx="8">
                  <c:v>0.12736435493250364</c:v>
                </c:pt>
                <c:pt idx="9">
                  <c:v>0.12328240245438461</c:v>
                </c:pt>
                <c:pt idx="10">
                  <c:v>0.12773320276990779</c:v>
                </c:pt>
                <c:pt idx="11">
                  <c:v>0.12381140900264749</c:v>
                </c:pt>
                <c:pt idx="12">
                  <c:v>0.12415001490804181</c:v>
                </c:pt>
                <c:pt idx="13">
                  <c:v>0.1225255992701836</c:v>
                </c:pt>
                <c:pt idx="14">
                  <c:v>0.12769685506549289</c:v>
                </c:pt>
                <c:pt idx="15">
                  <c:v>0.12497126589032691</c:v>
                </c:pt>
                <c:pt idx="16">
                  <c:v>0.1203910336592089</c:v>
                </c:pt>
                <c:pt idx="17">
                  <c:v>0.11523462540777767</c:v>
                </c:pt>
                <c:pt idx="18">
                  <c:v>0.11913233880834097</c:v>
                </c:pt>
                <c:pt idx="19">
                  <c:v>0.11589125842049461</c:v>
                </c:pt>
                <c:pt idx="20">
                  <c:v>0.11416792806246837</c:v>
                </c:pt>
                <c:pt idx="21">
                  <c:v>0.12059112149023121</c:v>
                </c:pt>
                <c:pt idx="22">
                  <c:v>0.1220459231471509</c:v>
                </c:pt>
                <c:pt idx="23">
                  <c:v>0.12734348337003151</c:v>
                </c:pt>
                <c:pt idx="24">
                  <c:v>0.12357773138617306</c:v>
                </c:pt>
                <c:pt idx="25">
                  <c:v>0.12966950520972356</c:v>
                </c:pt>
                <c:pt idx="26">
                  <c:v>0.12774536715486273</c:v>
                </c:pt>
                <c:pt idx="27">
                  <c:v>0.12989218396065796</c:v>
                </c:pt>
                <c:pt idx="28">
                  <c:v>0.12707198304192785</c:v>
                </c:pt>
                <c:pt idx="29">
                  <c:v>0.136269331838104</c:v>
                </c:pt>
                <c:pt idx="30">
                  <c:v>0.13022613612249365</c:v>
                </c:pt>
                <c:pt idx="31">
                  <c:v>0.12295226720928447</c:v>
                </c:pt>
                <c:pt idx="32">
                  <c:v>0.10341644138959155</c:v>
                </c:pt>
                <c:pt idx="33">
                  <c:v>0.11074430142799732</c:v>
                </c:pt>
                <c:pt idx="34">
                  <c:v>0.11539045322350311</c:v>
                </c:pt>
                <c:pt idx="35">
                  <c:v>0.11662982785903951</c:v>
                </c:pt>
                <c:pt idx="36">
                  <c:v>0.11677713621948659</c:v>
                </c:pt>
                <c:pt idx="37">
                  <c:v>0.12444848694219009</c:v>
                </c:pt>
                <c:pt idx="38">
                  <c:v>0.13941001846649972</c:v>
                </c:pt>
                <c:pt idx="39">
                  <c:v>0.13564305684815828</c:v>
                </c:pt>
                <c:pt idx="40">
                  <c:v>0.13171295368537755</c:v>
                </c:pt>
                <c:pt idx="41">
                  <c:v>0.1156989816971622</c:v>
                </c:pt>
                <c:pt idx="42">
                  <c:v>0.11521882064993494</c:v>
                </c:pt>
                <c:pt idx="43">
                  <c:v>0.11396686669782638</c:v>
                </c:pt>
                <c:pt idx="44">
                  <c:v>0.12087580902801606</c:v>
                </c:pt>
                <c:pt idx="45">
                  <c:v>0.12291867189130921</c:v>
                </c:pt>
                <c:pt idx="46">
                  <c:v>0.13098385660645015</c:v>
                </c:pt>
                <c:pt idx="47">
                  <c:v>0.12515223119824456</c:v>
                </c:pt>
                <c:pt idx="48">
                  <c:v>0.1324706620057283</c:v>
                </c:pt>
                <c:pt idx="49">
                  <c:v>0.12845439698300001</c:v>
                </c:pt>
                <c:pt idx="50">
                  <c:v>0.13662770238652416</c:v>
                </c:pt>
                <c:pt idx="51">
                  <c:v>0.13587417661373738</c:v>
                </c:pt>
                <c:pt idx="52">
                  <c:v>0.1352360935037</c:v>
                </c:pt>
                <c:pt idx="53">
                  <c:v>0.13050410656920144</c:v>
                </c:pt>
                <c:pt idx="54">
                  <c:v>0.12282203857472114</c:v>
                </c:pt>
                <c:pt idx="55">
                  <c:v>0.12792397002303701</c:v>
                </c:pt>
                <c:pt idx="56">
                  <c:v>0.12110223914976601</c:v>
                </c:pt>
                <c:pt idx="57">
                  <c:v>0.12484551644732921</c:v>
                </c:pt>
                <c:pt idx="58">
                  <c:v>0.11883209485806615</c:v>
                </c:pt>
                <c:pt idx="59">
                  <c:v>0.12149699506786972</c:v>
                </c:pt>
                <c:pt idx="60">
                  <c:v>0.12095960660492464</c:v>
                </c:pt>
                <c:pt idx="61">
                  <c:v>0.12725916736461901</c:v>
                </c:pt>
                <c:pt idx="62">
                  <c:v>0.12895656195048585</c:v>
                </c:pt>
                <c:pt idx="63">
                  <c:v>0.12972269923429061</c:v>
                </c:pt>
                <c:pt idx="64">
                  <c:v>0.12609459124100914</c:v>
                </c:pt>
                <c:pt idx="65">
                  <c:v>0.12625116286579213</c:v>
                </c:pt>
                <c:pt idx="66">
                  <c:v>0.11770705783039799</c:v>
                </c:pt>
                <c:pt idx="67">
                  <c:v>0.11539909023843802</c:v>
                </c:pt>
                <c:pt idx="68">
                  <c:v>0.11420742973722342</c:v>
                </c:pt>
                <c:pt idx="69">
                  <c:v>0.11904412793295722</c:v>
                </c:pt>
                <c:pt idx="70">
                  <c:v>0.11879989830533912</c:v>
                </c:pt>
                <c:pt idx="71">
                  <c:v>0.12355228987985371</c:v>
                </c:pt>
                <c:pt idx="72">
                  <c:v>0.12034147937825113</c:v>
                </c:pt>
                <c:pt idx="73">
                  <c:v>0.12541366159574283</c:v>
                </c:pt>
                <c:pt idx="74">
                  <c:v>0.11547036413221316</c:v>
                </c:pt>
                <c:pt idx="75">
                  <c:v>0.11564386353719469</c:v>
                </c:pt>
                <c:pt idx="76">
                  <c:v>0.10851162462634147</c:v>
                </c:pt>
                <c:pt idx="77">
                  <c:v>0.10696569709865557</c:v>
                </c:pt>
                <c:pt idx="78">
                  <c:v>0.1117117025653233</c:v>
                </c:pt>
              </c:numCache>
            </c:numRef>
          </c:val>
          <c:smooth val="0"/>
          <c:extLst>
            <c:ext xmlns:c16="http://schemas.microsoft.com/office/drawing/2014/chart" uri="{C3380CC4-5D6E-409C-BE32-E72D297353CC}">
              <c16:uniqueId val="{0000000A-DD3B-41BE-80B5-55C255395E30}"/>
            </c:ext>
          </c:extLst>
        </c:ser>
        <c:ser>
          <c:idx val="11"/>
          <c:order val="11"/>
          <c:tx>
            <c:strRef>
              <c:f>'Figura 13'!$AD$15</c:f>
              <c:strCache>
                <c:ptCount val="1"/>
                <c:pt idx="0">
                  <c:v>Personal de servicio doméstico</c:v>
                </c:pt>
              </c:strCache>
            </c:strRef>
          </c:tx>
          <c:spPr>
            <a:ln w="28575" cap="rnd">
              <a:solidFill>
                <a:schemeClr val="accent6">
                  <a:lumMod val="60000"/>
                </a:schemeClr>
              </a:solidFill>
              <a:round/>
            </a:ln>
            <a:effectLst/>
          </c:spPr>
          <c:marker>
            <c:symbol val="none"/>
          </c:marker>
          <c:cat>
            <c:strRef>
              <c:f>'Figura 13'!$R$16:$R$94</c:f>
              <c:strCache>
                <c:ptCount val="79"/>
                <c:pt idx="0">
                  <c:v>Jul - Sep 2017</c:v>
                </c:pt>
                <c:pt idx="1">
                  <c:v>Ago - Oct 2017</c:v>
                </c:pt>
                <c:pt idx="2">
                  <c:v>Sep - Nov 2017</c:v>
                </c:pt>
                <c:pt idx="3">
                  <c:v>Oct - Dic 2017</c:v>
                </c:pt>
                <c:pt idx="4">
                  <c:v>Nov - Ene 2017</c:v>
                </c:pt>
                <c:pt idx="5">
                  <c:v>Dic - Feb 2018</c:v>
                </c:pt>
                <c:pt idx="6">
                  <c:v>Ene - Mar 2018</c:v>
                </c:pt>
                <c:pt idx="7">
                  <c:v>Feb - Abr 2018</c:v>
                </c:pt>
                <c:pt idx="8">
                  <c:v>Mar - May 2018</c:v>
                </c:pt>
                <c:pt idx="9">
                  <c:v>Abr - Jun 2018</c:v>
                </c:pt>
                <c:pt idx="10">
                  <c:v>May - Jul 2018</c:v>
                </c:pt>
                <c:pt idx="11">
                  <c:v>Jun - Ago 2018</c:v>
                </c:pt>
                <c:pt idx="12">
                  <c:v>Jul - Sep 2018</c:v>
                </c:pt>
                <c:pt idx="13">
                  <c:v>Ago - Oct 2018</c:v>
                </c:pt>
                <c:pt idx="14">
                  <c:v>Sep - Nov 2018</c:v>
                </c:pt>
                <c:pt idx="15">
                  <c:v>Oct - Dic 2018</c:v>
                </c:pt>
                <c:pt idx="16">
                  <c:v>Nov - Ene 2018</c:v>
                </c:pt>
                <c:pt idx="17">
                  <c:v>Dic - Feb 2019</c:v>
                </c:pt>
                <c:pt idx="18">
                  <c:v>Ene - Mar 2019</c:v>
                </c:pt>
                <c:pt idx="19">
                  <c:v>Feb - Abr 2019</c:v>
                </c:pt>
                <c:pt idx="20">
                  <c:v>Mar - May 2019</c:v>
                </c:pt>
                <c:pt idx="21">
                  <c:v>Abr - Jun 2019</c:v>
                </c:pt>
                <c:pt idx="22">
                  <c:v>May - Jul 2019</c:v>
                </c:pt>
                <c:pt idx="23">
                  <c:v>Jun - Ago 2019</c:v>
                </c:pt>
                <c:pt idx="24">
                  <c:v>Jul - Sep 2019</c:v>
                </c:pt>
                <c:pt idx="25">
                  <c:v>Ago - Oct 2019</c:v>
                </c:pt>
                <c:pt idx="26">
                  <c:v>Sep - Nov 2019</c:v>
                </c:pt>
                <c:pt idx="27">
                  <c:v>Oct - Dic 2019</c:v>
                </c:pt>
                <c:pt idx="28">
                  <c:v>Nov - Ene 2019</c:v>
                </c:pt>
                <c:pt idx="29">
                  <c:v>Dic - Feb 2020</c:v>
                </c:pt>
                <c:pt idx="30">
                  <c:v>Ene - Mar 2020</c:v>
                </c:pt>
                <c:pt idx="31">
                  <c:v>Feb - Abr 2020</c:v>
                </c:pt>
                <c:pt idx="32">
                  <c:v>Mar - May 2020</c:v>
                </c:pt>
                <c:pt idx="33">
                  <c:v>Abr - Jun 2020</c:v>
                </c:pt>
                <c:pt idx="34">
                  <c:v>May - Jul 2020</c:v>
                </c:pt>
                <c:pt idx="35">
                  <c:v>Jun - Ago 2020</c:v>
                </c:pt>
                <c:pt idx="36">
                  <c:v>Jul - Sep 2020</c:v>
                </c:pt>
                <c:pt idx="37">
                  <c:v>Ago - Oct 2020</c:v>
                </c:pt>
                <c:pt idx="38">
                  <c:v>Sep - Nov 2020</c:v>
                </c:pt>
                <c:pt idx="39">
                  <c:v>Oct - Dic 2020</c:v>
                </c:pt>
                <c:pt idx="40">
                  <c:v>Nov - Ene 2020</c:v>
                </c:pt>
                <c:pt idx="41">
                  <c:v>Dic - Feb 2021</c:v>
                </c:pt>
                <c:pt idx="42">
                  <c:v>Ene - Mar 2021</c:v>
                </c:pt>
                <c:pt idx="43">
                  <c:v>Feb - Abr 2021</c:v>
                </c:pt>
                <c:pt idx="44">
                  <c:v>Mar - May 2021</c:v>
                </c:pt>
                <c:pt idx="45">
                  <c:v>Abr - Jun 2021</c:v>
                </c:pt>
                <c:pt idx="46">
                  <c:v>May - Jul 2021</c:v>
                </c:pt>
                <c:pt idx="47">
                  <c:v>Jun - Ago 2021</c:v>
                </c:pt>
                <c:pt idx="48">
                  <c:v>Jul - Sep 2021</c:v>
                </c:pt>
                <c:pt idx="49">
                  <c:v>Ago - Oct 2021</c:v>
                </c:pt>
                <c:pt idx="50">
                  <c:v>Sep - Nov 2021</c:v>
                </c:pt>
                <c:pt idx="51">
                  <c:v>Oct - Dic 2021</c:v>
                </c:pt>
                <c:pt idx="52">
                  <c:v>Nov - Ene 2021</c:v>
                </c:pt>
                <c:pt idx="53">
                  <c:v>Dic - Feb 2022</c:v>
                </c:pt>
                <c:pt idx="54">
                  <c:v>Ene - Mar 2022</c:v>
                </c:pt>
                <c:pt idx="55">
                  <c:v>Feb - Abr 2022</c:v>
                </c:pt>
                <c:pt idx="56">
                  <c:v>Mar - May 2022</c:v>
                </c:pt>
                <c:pt idx="57">
                  <c:v>Abr - Jun 2022</c:v>
                </c:pt>
                <c:pt idx="58">
                  <c:v>May - Jul 2022</c:v>
                </c:pt>
                <c:pt idx="59">
                  <c:v>Jun - Ago 2022</c:v>
                </c:pt>
                <c:pt idx="60">
                  <c:v>Jul - Sep 2022</c:v>
                </c:pt>
                <c:pt idx="61">
                  <c:v>Ago - Oct 2022</c:v>
                </c:pt>
                <c:pt idx="62">
                  <c:v>Sep - Nov 2022</c:v>
                </c:pt>
                <c:pt idx="63">
                  <c:v>Oct - Dic 2022</c:v>
                </c:pt>
                <c:pt idx="64">
                  <c:v>Nov - Ene 2022</c:v>
                </c:pt>
                <c:pt idx="65">
                  <c:v>Dic - Feb 2023</c:v>
                </c:pt>
                <c:pt idx="66">
                  <c:v>Ene - Mar 2023</c:v>
                </c:pt>
                <c:pt idx="67">
                  <c:v>Feb - Abr 2023</c:v>
                </c:pt>
                <c:pt idx="68">
                  <c:v>Mar - May 2023</c:v>
                </c:pt>
                <c:pt idx="69">
                  <c:v>Abr - Jun 2023</c:v>
                </c:pt>
                <c:pt idx="70">
                  <c:v>May - Jul 2023</c:v>
                </c:pt>
                <c:pt idx="71">
                  <c:v>Jun - Ago 2023</c:v>
                </c:pt>
                <c:pt idx="72">
                  <c:v>Jul - Sep 2023</c:v>
                </c:pt>
                <c:pt idx="73">
                  <c:v>Ago - Oct 2023</c:v>
                </c:pt>
                <c:pt idx="74">
                  <c:v>Sep - Nov 2023</c:v>
                </c:pt>
                <c:pt idx="75">
                  <c:v>Oct - Dic 2023</c:v>
                </c:pt>
                <c:pt idx="76">
                  <c:v>Nov - Ene 2023</c:v>
                </c:pt>
                <c:pt idx="77">
                  <c:v>Dic - Feb 2024</c:v>
                </c:pt>
                <c:pt idx="78">
                  <c:v>Ene - Mar 2024</c:v>
                </c:pt>
              </c:strCache>
            </c:strRef>
          </c:cat>
          <c:val>
            <c:numRef>
              <c:f>'Figura 13'!$AD$16:$AD$94</c:f>
              <c:numCache>
                <c:formatCode>0.0%</c:formatCode>
                <c:ptCount val="79"/>
                <c:pt idx="0">
                  <c:v>0.46673785254036704</c:v>
                </c:pt>
                <c:pt idx="1">
                  <c:v>0.44990528797403134</c:v>
                </c:pt>
                <c:pt idx="2">
                  <c:v>0.45858697255657527</c:v>
                </c:pt>
                <c:pt idx="3">
                  <c:v>0.43417334088759679</c:v>
                </c:pt>
                <c:pt idx="4">
                  <c:v>0.4215493953878876</c:v>
                </c:pt>
                <c:pt idx="5">
                  <c:v>0.42316630827443552</c:v>
                </c:pt>
                <c:pt idx="6">
                  <c:v>0.44294633892518648</c:v>
                </c:pt>
                <c:pt idx="7">
                  <c:v>0.43853722019204694</c:v>
                </c:pt>
                <c:pt idx="8">
                  <c:v>0.43759494823206796</c:v>
                </c:pt>
                <c:pt idx="9">
                  <c:v>0.44210614890090189</c:v>
                </c:pt>
                <c:pt idx="10">
                  <c:v>0.46064233146401812</c:v>
                </c:pt>
                <c:pt idx="11">
                  <c:v>0.47872590037456936</c:v>
                </c:pt>
                <c:pt idx="12">
                  <c:v>0.48477977799977562</c:v>
                </c:pt>
                <c:pt idx="13">
                  <c:v>0.502354350903919</c:v>
                </c:pt>
                <c:pt idx="14">
                  <c:v>0.49692458883233287</c:v>
                </c:pt>
                <c:pt idx="15">
                  <c:v>0.49067735571894006</c:v>
                </c:pt>
                <c:pt idx="16">
                  <c:v>0.47760575575023578</c:v>
                </c:pt>
                <c:pt idx="17">
                  <c:v>0.4538015600632867</c:v>
                </c:pt>
                <c:pt idx="18">
                  <c:v>0.47357000332270299</c:v>
                </c:pt>
                <c:pt idx="19">
                  <c:v>0.4802822733138043</c:v>
                </c:pt>
                <c:pt idx="20">
                  <c:v>0.47190222817185812</c:v>
                </c:pt>
                <c:pt idx="21">
                  <c:v>0.46288540629491737</c:v>
                </c:pt>
                <c:pt idx="22">
                  <c:v>0.50083551691051298</c:v>
                </c:pt>
                <c:pt idx="23">
                  <c:v>0.4890722172085667</c:v>
                </c:pt>
                <c:pt idx="24">
                  <c:v>0.49172532221585891</c:v>
                </c:pt>
                <c:pt idx="25">
                  <c:v>0.46536654070891842</c:v>
                </c:pt>
                <c:pt idx="26">
                  <c:v>0.48376426850885484</c:v>
                </c:pt>
                <c:pt idx="27">
                  <c:v>0.4790135164876495</c:v>
                </c:pt>
                <c:pt idx="28">
                  <c:v>0.49113882025634159</c:v>
                </c:pt>
                <c:pt idx="29">
                  <c:v>0.5338431114524238</c:v>
                </c:pt>
                <c:pt idx="30">
                  <c:v>0.52629773086775367</c:v>
                </c:pt>
                <c:pt idx="31">
                  <c:v>0.4793382415059802</c:v>
                </c:pt>
                <c:pt idx="32">
                  <c:v>0.39308205216054476</c:v>
                </c:pt>
                <c:pt idx="33">
                  <c:v>0.32730961861349833</c:v>
                </c:pt>
                <c:pt idx="34">
                  <c:v>0.34408498170358065</c:v>
                </c:pt>
                <c:pt idx="35">
                  <c:v>0.36957886256774886</c:v>
                </c:pt>
                <c:pt idx="36">
                  <c:v>0.38559606597487883</c:v>
                </c:pt>
                <c:pt idx="37">
                  <c:v>0.40554046331700266</c:v>
                </c:pt>
                <c:pt idx="38">
                  <c:v>0.40922538895916316</c:v>
                </c:pt>
                <c:pt idx="39">
                  <c:v>0.40902508427513123</c:v>
                </c:pt>
                <c:pt idx="40">
                  <c:v>0.44984802965997139</c:v>
                </c:pt>
                <c:pt idx="41">
                  <c:v>0.45007779194786568</c:v>
                </c:pt>
                <c:pt idx="42">
                  <c:v>0.4441808738527776</c:v>
                </c:pt>
                <c:pt idx="43">
                  <c:v>0.4056830882125777</c:v>
                </c:pt>
                <c:pt idx="44">
                  <c:v>0.40215016748074472</c:v>
                </c:pt>
                <c:pt idx="45">
                  <c:v>0.42272461568296132</c:v>
                </c:pt>
                <c:pt idx="46">
                  <c:v>0.44188169860102483</c:v>
                </c:pt>
                <c:pt idx="47">
                  <c:v>0.46054661742296749</c:v>
                </c:pt>
                <c:pt idx="48">
                  <c:v>0.47844253495176581</c:v>
                </c:pt>
                <c:pt idx="49">
                  <c:v>0.48322706436065793</c:v>
                </c:pt>
                <c:pt idx="50">
                  <c:v>0.48824156069592123</c:v>
                </c:pt>
                <c:pt idx="51">
                  <c:v>0.49875725112679814</c:v>
                </c:pt>
                <c:pt idx="52">
                  <c:v>0.49914272057929682</c:v>
                </c:pt>
                <c:pt idx="53">
                  <c:v>0.52172600052494733</c:v>
                </c:pt>
                <c:pt idx="54">
                  <c:v>0.51321693944324931</c:v>
                </c:pt>
                <c:pt idx="55">
                  <c:v>0.5049648779721706</c:v>
                </c:pt>
                <c:pt idx="56">
                  <c:v>0.50440007513540197</c:v>
                </c:pt>
                <c:pt idx="57">
                  <c:v>0.51057933849840564</c:v>
                </c:pt>
                <c:pt idx="58">
                  <c:v>0.52834337005945542</c:v>
                </c:pt>
                <c:pt idx="59">
                  <c:v>0.52007703832724794</c:v>
                </c:pt>
                <c:pt idx="60">
                  <c:v>0.55012356589668998</c:v>
                </c:pt>
                <c:pt idx="61">
                  <c:v>0.52967379060353836</c:v>
                </c:pt>
                <c:pt idx="62">
                  <c:v>0.52294627374533265</c:v>
                </c:pt>
                <c:pt idx="63">
                  <c:v>0.5317685076668065</c:v>
                </c:pt>
                <c:pt idx="64">
                  <c:v>0.5447503240671302</c:v>
                </c:pt>
                <c:pt idx="65">
                  <c:v>0.56450006361256633</c:v>
                </c:pt>
                <c:pt idx="66">
                  <c:v>0.5409477600058531</c:v>
                </c:pt>
                <c:pt idx="67">
                  <c:v>0.54568297419306555</c:v>
                </c:pt>
                <c:pt idx="68">
                  <c:v>0.54598014642585557</c:v>
                </c:pt>
                <c:pt idx="69">
                  <c:v>0.57589395968153612</c:v>
                </c:pt>
                <c:pt idx="70">
                  <c:v>0.58590325045159364</c:v>
                </c:pt>
                <c:pt idx="71">
                  <c:v>0.55815432362409079</c:v>
                </c:pt>
                <c:pt idx="72">
                  <c:v>0.53230909770576051</c:v>
                </c:pt>
                <c:pt idx="73">
                  <c:v>0.53458048247922263</c:v>
                </c:pt>
                <c:pt idx="74">
                  <c:v>0.55980191783362998</c:v>
                </c:pt>
                <c:pt idx="75">
                  <c:v>0.57942287712254581</c:v>
                </c:pt>
                <c:pt idx="76">
                  <c:v>0.58547464106390046</c:v>
                </c:pt>
                <c:pt idx="77">
                  <c:v>0.59012287103902883</c:v>
                </c:pt>
                <c:pt idx="78">
                  <c:v>0.58874526751041845</c:v>
                </c:pt>
              </c:numCache>
            </c:numRef>
          </c:val>
          <c:smooth val="0"/>
          <c:extLst>
            <c:ext xmlns:c16="http://schemas.microsoft.com/office/drawing/2014/chart" uri="{C3380CC4-5D6E-409C-BE32-E72D297353CC}">
              <c16:uniqueId val="{0000000B-DD3B-41BE-80B5-55C255395E30}"/>
            </c:ext>
          </c:extLst>
        </c:ser>
        <c:dLbls>
          <c:showLegendKey val="0"/>
          <c:showVal val="0"/>
          <c:showCatName val="0"/>
          <c:showSerName val="0"/>
          <c:showPercent val="0"/>
          <c:showBubbleSize val="0"/>
        </c:dLbls>
        <c:smooth val="0"/>
        <c:axId val="616882783"/>
        <c:axId val="616888063"/>
      </c:lineChart>
      <c:catAx>
        <c:axId val="6168827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16888063"/>
        <c:crosses val="autoZero"/>
        <c:auto val="1"/>
        <c:lblAlgn val="ctr"/>
        <c:lblOffset val="100"/>
        <c:noMultiLvlLbl val="0"/>
      </c:catAx>
      <c:valAx>
        <c:axId val="61688806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168827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'Figura 14'!$CS$21:$CS$41</c:f>
              <c:strCache>
                <c:ptCount val="21"/>
                <c:pt idx="0">
                  <c:v>Minería</c:v>
                </c:pt>
                <c:pt idx="1">
                  <c:v>Energía</c:v>
                </c:pt>
                <c:pt idx="2">
                  <c:v>Sector financiero</c:v>
                </c:pt>
                <c:pt idx="3">
                  <c:v>Información y comunicaciones</c:v>
                </c:pt>
                <c:pt idx="4">
                  <c:v>Enseñanza</c:v>
                </c:pt>
                <c:pt idx="5">
                  <c:v>Actividades profesionales</c:v>
                </c:pt>
                <c:pt idx="6">
                  <c:v>Administración pública y defensa</c:v>
                </c:pt>
                <c:pt idx="7">
                  <c:v>Organizaciones</c:v>
                </c:pt>
                <c:pt idx="8">
                  <c:v>Inmobiliario</c:v>
                </c:pt>
                <c:pt idx="9">
                  <c:v>Agua</c:v>
                </c:pt>
                <c:pt idx="10">
                  <c:v>Salud y asistencia social </c:v>
                </c:pt>
                <c:pt idx="11">
                  <c:v>Servicios administrativos</c:v>
                </c:pt>
                <c:pt idx="12">
                  <c:v>Manufacturas</c:v>
                </c:pt>
                <c:pt idx="13">
                  <c:v>Transporte y almacenamiento </c:v>
                </c:pt>
                <c:pt idx="14">
                  <c:v>Artes y recreación</c:v>
                </c:pt>
                <c:pt idx="15">
                  <c:v>Hotelería y gastronomía</c:v>
                </c:pt>
                <c:pt idx="16">
                  <c:v>Comercio</c:v>
                </c:pt>
                <c:pt idx="17">
                  <c:v>Construcción</c:v>
                </c:pt>
                <c:pt idx="18">
                  <c:v>Agricultura</c:v>
                </c:pt>
                <c:pt idx="19">
                  <c:v>Otras actividades de servicios</c:v>
                </c:pt>
                <c:pt idx="20">
                  <c:v>Hogares</c:v>
                </c:pt>
              </c:strCache>
            </c:strRef>
          </c:cat>
          <c:val>
            <c:numRef>
              <c:f>'Figura 14'!$CT$21:$CT$41</c:f>
              <c:numCache>
                <c:formatCode>#,##0.00_);\(#,##0.00\);"-"</c:formatCode>
                <c:ptCount val="21"/>
                <c:pt idx="0">
                  <c:v>3.3969136688239428E-2</c:v>
                </c:pt>
                <c:pt idx="1">
                  <c:v>3.5329618400107086E-2</c:v>
                </c:pt>
                <c:pt idx="2">
                  <c:v>4.6503503546510054E-2</c:v>
                </c:pt>
                <c:pt idx="3">
                  <c:v>9.9106273440344755E-2</c:v>
                </c:pt>
                <c:pt idx="4">
                  <c:v>0.10331118770333297</c:v>
                </c:pt>
                <c:pt idx="5">
                  <c:v>0.12160005382360879</c:v>
                </c:pt>
                <c:pt idx="6">
                  <c:v>0.13632304056511593</c:v>
                </c:pt>
                <c:pt idx="7">
                  <c:v>0.14480124518773826</c:v>
                </c:pt>
                <c:pt idx="8">
                  <c:v>0.15325395835108596</c:v>
                </c:pt>
                <c:pt idx="9">
                  <c:v>0.16164989573852998</c:v>
                </c:pt>
                <c:pt idx="10">
                  <c:v>0.16201087736284234</c:v>
                </c:pt>
                <c:pt idx="11">
                  <c:v>0.20090075256324505</c:v>
                </c:pt>
                <c:pt idx="12">
                  <c:v>0.26655682856112012</c:v>
                </c:pt>
                <c:pt idx="13">
                  <c:v>0.330638908472982</c:v>
                </c:pt>
                <c:pt idx="14">
                  <c:v>0.33425391539984367</c:v>
                </c:pt>
                <c:pt idx="15">
                  <c:v>0.33487049082796849</c:v>
                </c:pt>
                <c:pt idx="16">
                  <c:v>0.34704540909672871</c:v>
                </c:pt>
                <c:pt idx="17">
                  <c:v>0.38076120150591064</c:v>
                </c:pt>
                <c:pt idx="18">
                  <c:v>0.43714022899125671</c:v>
                </c:pt>
                <c:pt idx="19">
                  <c:v>0.52556137206664288</c:v>
                </c:pt>
                <c:pt idx="20">
                  <c:v>0.60953977675697468</c:v>
                </c:pt>
              </c:numCache>
            </c:numRef>
          </c:val>
          <c:extLst>
            <c:ext xmlns:c16="http://schemas.microsoft.com/office/drawing/2014/chart" uri="{C3380CC4-5D6E-409C-BE32-E72D297353CC}">
              <c16:uniqueId val="{00000000-EA56-498A-B2B7-C3519F559756}"/>
            </c:ext>
          </c:extLst>
        </c:ser>
        <c:dLbls>
          <c:showLegendKey val="0"/>
          <c:showVal val="0"/>
          <c:showCatName val="0"/>
          <c:showSerName val="0"/>
          <c:showPercent val="0"/>
          <c:showBubbleSize val="0"/>
        </c:dLbls>
        <c:gapWidth val="219"/>
        <c:overlap val="-27"/>
        <c:axId val="1571090399"/>
        <c:axId val="1571092799"/>
      </c:barChart>
      <c:catAx>
        <c:axId val="15710903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571092799"/>
        <c:crosses val="autoZero"/>
        <c:auto val="1"/>
        <c:lblAlgn val="ctr"/>
        <c:lblOffset val="100"/>
        <c:tickLblSkip val="1"/>
        <c:noMultiLvlLbl val="0"/>
      </c:catAx>
      <c:valAx>
        <c:axId val="1571092799"/>
        <c:scaling>
          <c:orientation val="minMax"/>
        </c:scaling>
        <c:delete val="0"/>
        <c:axPos val="l"/>
        <c:majorGridlines>
          <c:spPr>
            <a:ln w="9525" cap="flat" cmpd="sng" algn="ctr">
              <a:solidFill>
                <a:schemeClr val="tx1">
                  <a:lumMod val="15000"/>
                  <a:lumOff val="85000"/>
                </a:schemeClr>
              </a:solidFill>
              <a:round/>
            </a:ln>
            <a:effectLst/>
          </c:spPr>
        </c:majorGridlines>
        <c:numFmt formatCode="#,##0.00_);\(#,##0.00\);&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57109039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943381556623108E-2"/>
          <c:y val="7.6543090826282856E-2"/>
          <c:w val="0.90937955640967461"/>
          <c:h val="0.76245820613209137"/>
        </c:manualLayout>
      </c:layout>
      <c:barChart>
        <c:barDir val="col"/>
        <c:grouping val="clustered"/>
        <c:varyColors val="0"/>
        <c:ser>
          <c:idx val="0"/>
          <c:order val="0"/>
          <c:tx>
            <c:strRef>
              <c:f>'Figura 15'!$N$22</c:f>
              <c:strCache>
                <c:ptCount val="1"/>
                <c:pt idx="0">
                  <c:v>Total</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'Figura 15'!$M$23:$M$27</c:f>
              <c:numCache>
                <c:formatCode>General</c:formatCode>
                <c:ptCount val="5"/>
                <c:pt idx="0">
                  <c:v>2019</c:v>
                </c:pt>
                <c:pt idx="1">
                  <c:v>2020</c:v>
                </c:pt>
                <c:pt idx="2">
                  <c:v>2021</c:v>
                </c:pt>
                <c:pt idx="3">
                  <c:v>2022</c:v>
                </c:pt>
                <c:pt idx="4">
                  <c:v>2023</c:v>
                </c:pt>
              </c:numCache>
            </c:numRef>
          </c:cat>
          <c:val>
            <c:numRef>
              <c:f>'Figura 15'!$N$23:$N$27</c:f>
              <c:numCache>
                <c:formatCode>0.0%</c:formatCode>
                <c:ptCount val="5"/>
                <c:pt idx="0">
                  <c:v>0.28377508045946875</c:v>
                </c:pt>
                <c:pt idx="1">
                  <c:v>0.25357111160756107</c:v>
                </c:pt>
                <c:pt idx="2">
                  <c:v>0.27129003128922125</c:v>
                </c:pt>
                <c:pt idx="3">
                  <c:v>0.27221251079931169</c:v>
                </c:pt>
                <c:pt idx="4">
                  <c:v>0.27210730921825149</c:v>
                </c:pt>
              </c:numCache>
            </c:numRef>
          </c:val>
          <c:extLst>
            <c:ext xmlns:c16="http://schemas.microsoft.com/office/drawing/2014/chart" uri="{C3380CC4-5D6E-409C-BE32-E72D297353CC}">
              <c16:uniqueId val="{00000000-448A-4577-8549-A6C36F9AFA76}"/>
            </c:ext>
          </c:extLst>
        </c:ser>
        <c:ser>
          <c:idx val="1"/>
          <c:order val="1"/>
          <c:tx>
            <c:strRef>
              <c:f>'Figura 15'!$O$22</c:f>
              <c:strCache>
                <c:ptCount val="1"/>
                <c:pt idx="0">
                  <c:v>Menos de 5 personas</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'Figura 15'!$M$23:$M$27</c:f>
              <c:numCache>
                <c:formatCode>General</c:formatCode>
                <c:ptCount val="5"/>
                <c:pt idx="0">
                  <c:v>2019</c:v>
                </c:pt>
                <c:pt idx="1">
                  <c:v>2020</c:v>
                </c:pt>
                <c:pt idx="2">
                  <c:v>2021</c:v>
                </c:pt>
                <c:pt idx="3">
                  <c:v>2022</c:v>
                </c:pt>
                <c:pt idx="4">
                  <c:v>2023</c:v>
                </c:pt>
              </c:numCache>
            </c:numRef>
          </c:cat>
          <c:val>
            <c:numRef>
              <c:f>'Figura 15'!$O$23:$O$27</c:f>
              <c:numCache>
                <c:formatCode>0.0%</c:formatCode>
                <c:ptCount val="5"/>
                <c:pt idx="0">
                  <c:v>0.6096432683556523</c:v>
                </c:pt>
                <c:pt idx="1">
                  <c:v>0.58558359836269436</c:v>
                </c:pt>
                <c:pt idx="2">
                  <c:v>0.63462404562352359</c:v>
                </c:pt>
                <c:pt idx="3">
                  <c:v>0.63396979229916306</c:v>
                </c:pt>
                <c:pt idx="4">
                  <c:v>0.62328879638116541</c:v>
                </c:pt>
              </c:numCache>
            </c:numRef>
          </c:val>
          <c:extLst>
            <c:ext xmlns:c16="http://schemas.microsoft.com/office/drawing/2014/chart" uri="{C3380CC4-5D6E-409C-BE32-E72D297353CC}">
              <c16:uniqueId val="{00000001-448A-4577-8549-A6C36F9AFA76}"/>
            </c:ext>
          </c:extLst>
        </c:ser>
        <c:ser>
          <c:idx val="2"/>
          <c:order val="2"/>
          <c:tx>
            <c:strRef>
              <c:f>'Figura 15'!$P$22</c:f>
              <c:strCache>
                <c:ptCount val="1"/>
                <c:pt idx="0">
                  <c:v>5-10 personas</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'Figura 15'!$M$23:$M$27</c:f>
              <c:numCache>
                <c:formatCode>General</c:formatCode>
                <c:ptCount val="5"/>
                <c:pt idx="0">
                  <c:v>2019</c:v>
                </c:pt>
                <c:pt idx="1">
                  <c:v>2020</c:v>
                </c:pt>
                <c:pt idx="2">
                  <c:v>2021</c:v>
                </c:pt>
                <c:pt idx="3">
                  <c:v>2022</c:v>
                </c:pt>
                <c:pt idx="4">
                  <c:v>2023</c:v>
                </c:pt>
              </c:numCache>
            </c:numRef>
          </c:cat>
          <c:val>
            <c:numRef>
              <c:f>'Figura 15'!$P$23:$P$27</c:f>
              <c:numCache>
                <c:formatCode>0.0%</c:formatCode>
                <c:ptCount val="5"/>
                <c:pt idx="0">
                  <c:v>0.25931005566790216</c:v>
                </c:pt>
                <c:pt idx="1">
                  <c:v>0.2310319493480327</c:v>
                </c:pt>
                <c:pt idx="2">
                  <c:v>0.22890076217842051</c:v>
                </c:pt>
                <c:pt idx="3">
                  <c:v>0.2258686377481097</c:v>
                </c:pt>
                <c:pt idx="4">
                  <c:v>0.25087724719532778</c:v>
                </c:pt>
              </c:numCache>
            </c:numRef>
          </c:val>
          <c:extLst>
            <c:ext xmlns:c16="http://schemas.microsoft.com/office/drawing/2014/chart" uri="{C3380CC4-5D6E-409C-BE32-E72D297353CC}">
              <c16:uniqueId val="{00000002-448A-4577-8549-A6C36F9AFA76}"/>
            </c:ext>
          </c:extLst>
        </c:ser>
        <c:ser>
          <c:idx val="3"/>
          <c:order val="3"/>
          <c:tx>
            <c:strRef>
              <c:f>'Figura 15'!$Q$22</c:f>
              <c:strCache>
                <c:ptCount val="1"/>
                <c:pt idx="0">
                  <c:v>11-49 personas</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'Figura 15'!$M$23:$M$27</c:f>
              <c:numCache>
                <c:formatCode>General</c:formatCode>
                <c:ptCount val="5"/>
                <c:pt idx="0">
                  <c:v>2019</c:v>
                </c:pt>
                <c:pt idx="1">
                  <c:v>2020</c:v>
                </c:pt>
                <c:pt idx="2">
                  <c:v>2021</c:v>
                </c:pt>
                <c:pt idx="3">
                  <c:v>2022</c:v>
                </c:pt>
                <c:pt idx="4">
                  <c:v>2023</c:v>
                </c:pt>
              </c:numCache>
            </c:numRef>
          </c:cat>
          <c:val>
            <c:numRef>
              <c:f>'Figura 15'!$Q$23:$Q$27</c:f>
              <c:numCache>
                <c:formatCode>0.0%</c:formatCode>
                <c:ptCount val="5"/>
                <c:pt idx="0">
                  <c:v>0.16304433536317206</c:v>
                </c:pt>
                <c:pt idx="1">
                  <c:v>0.1236453748595726</c:v>
                </c:pt>
                <c:pt idx="2">
                  <c:v>0.12172054449329285</c:v>
                </c:pt>
                <c:pt idx="3">
                  <c:v>0.13444781950206991</c:v>
                </c:pt>
                <c:pt idx="4">
                  <c:v>0.14311341470606861</c:v>
                </c:pt>
              </c:numCache>
            </c:numRef>
          </c:val>
          <c:extLst>
            <c:ext xmlns:c16="http://schemas.microsoft.com/office/drawing/2014/chart" uri="{C3380CC4-5D6E-409C-BE32-E72D297353CC}">
              <c16:uniqueId val="{00000003-448A-4577-8549-A6C36F9AFA76}"/>
            </c:ext>
          </c:extLst>
        </c:ser>
        <c:ser>
          <c:idx val="4"/>
          <c:order val="4"/>
          <c:tx>
            <c:strRef>
              <c:f>'Figura 15'!$R$22</c:f>
              <c:strCache>
                <c:ptCount val="1"/>
                <c:pt idx="0">
                  <c:v>50-199 personas</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'Figura 15'!$M$23:$M$27</c:f>
              <c:numCache>
                <c:formatCode>General</c:formatCode>
                <c:ptCount val="5"/>
                <c:pt idx="0">
                  <c:v>2019</c:v>
                </c:pt>
                <c:pt idx="1">
                  <c:v>2020</c:v>
                </c:pt>
                <c:pt idx="2">
                  <c:v>2021</c:v>
                </c:pt>
                <c:pt idx="3">
                  <c:v>2022</c:v>
                </c:pt>
                <c:pt idx="4">
                  <c:v>2023</c:v>
                </c:pt>
              </c:numCache>
            </c:numRef>
          </c:cat>
          <c:val>
            <c:numRef>
              <c:f>'Figura 15'!$R$23:$R$27</c:f>
              <c:numCache>
                <c:formatCode>0.0%</c:formatCode>
                <c:ptCount val="5"/>
                <c:pt idx="0">
                  <c:v>8.495217019813707E-2</c:v>
                </c:pt>
                <c:pt idx="1">
                  <c:v>7.1044196967810294E-2</c:v>
                </c:pt>
                <c:pt idx="2">
                  <c:v>6.3057121718863171E-2</c:v>
                </c:pt>
                <c:pt idx="3">
                  <c:v>6.2855752634378745E-2</c:v>
                </c:pt>
                <c:pt idx="4">
                  <c:v>6.1248747201484786E-2</c:v>
                </c:pt>
              </c:numCache>
            </c:numRef>
          </c:val>
          <c:extLst>
            <c:ext xmlns:c16="http://schemas.microsoft.com/office/drawing/2014/chart" uri="{C3380CC4-5D6E-409C-BE32-E72D297353CC}">
              <c16:uniqueId val="{00000004-448A-4577-8549-A6C36F9AFA76}"/>
            </c:ext>
          </c:extLst>
        </c:ser>
        <c:ser>
          <c:idx val="5"/>
          <c:order val="5"/>
          <c:tx>
            <c:strRef>
              <c:f>'Figura 15'!$S$22</c:f>
              <c:strCache>
                <c:ptCount val="1"/>
                <c:pt idx="0">
                  <c:v>200 y más personas</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'Figura 15'!$M$23:$M$27</c:f>
              <c:numCache>
                <c:formatCode>General</c:formatCode>
                <c:ptCount val="5"/>
                <c:pt idx="0">
                  <c:v>2019</c:v>
                </c:pt>
                <c:pt idx="1">
                  <c:v>2020</c:v>
                </c:pt>
                <c:pt idx="2">
                  <c:v>2021</c:v>
                </c:pt>
                <c:pt idx="3">
                  <c:v>2022</c:v>
                </c:pt>
                <c:pt idx="4">
                  <c:v>2023</c:v>
                </c:pt>
              </c:numCache>
            </c:numRef>
          </c:cat>
          <c:val>
            <c:numRef>
              <c:f>'Figura 15'!$S$23:$S$27</c:f>
              <c:numCache>
                <c:formatCode>0.0%</c:formatCode>
                <c:ptCount val="5"/>
                <c:pt idx="0">
                  <c:v>8.2050009960098313E-2</c:v>
                </c:pt>
                <c:pt idx="1">
                  <c:v>8.392563307064424E-2</c:v>
                </c:pt>
                <c:pt idx="2">
                  <c:v>7.6398034896080616E-2</c:v>
                </c:pt>
                <c:pt idx="3">
                  <c:v>7.4057502016280835E-2</c:v>
                </c:pt>
                <c:pt idx="4">
                  <c:v>7.0334802492946963E-2</c:v>
                </c:pt>
              </c:numCache>
            </c:numRef>
          </c:val>
          <c:extLst>
            <c:ext xmlns:c16="http://schemas.microsoft.com/office/drawing/2014/chart" uri="{C3380CC4-5D6E-409C-BE32-E72D297353CC}">
              <c16:uniqueId val="{00000005-448A-4577-8549-A6C36F9AFA76}"/>
            </c:ext>
          </c:extLst>
        </c:ser>
        <c:dLbls>
          <c:showLegendKey val="0"/>
          <c:showVal val="0"/>
          <c:showCatName val="0"/>
          <c:showSerName val="0"/>
          <c:showPercent val="0"/>
          <c:showBubbleSize val="0"/>
        </c:dLbls>
        <c:gapWidth val="219"/>
        <c:overlap val="-27"/>
        <c:axId val="106430496"/>
        <c:axId val="98636064"/>
      </c:barChart>
      <c:catAx>
        <c:axId val="106430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98636064"/>
        <c:crosses val="autoZero"/>
        <c:auto val="1"/>
        <c:lblAlgn val="ctr"/>
        <c:lblOffset val="100"/>
        <c:noMultiLvlLbl val="0"/>
      </c:catAx>
      <c:valAx>
        <c:axId val="9863606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06430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'Figura 16'!$C$26</c:f>
              <c:strCache>
                <c:ptCount val="1"/>
                <c:pt idx="0">
                  <c:v>Informal </c:v>
                </c:pt>
              </c:strCache>
            </c:strRef>
          </c:tx>
          <c:spPr>
            <a:solidFill>
              <a:srgbClr val="00B0F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'Figura 16'!$B$27:$B$30</c:f>
              <c:strCache>
                <c:ptCount val="4"/>
                <c:pt idx="0">
                  <c:v>EME IV (2015)</c:v>
                </c:pt>
                <c:pt idx="1">
                  <c:v>EME V (2017)</c:v>
                </c:pt>
                <c:pt idx="2">
                  <c:v>EME VI (2019)</c:v>
                </c:pt>
                <c:pt idx="3">
                  <c:v>EME VII (2022)</c:v>
                </c:pt>
              </c:strCache>
            </c:strRef>
          </c:cat>
          <c:val>
            <c:numRef>
              <c:f>'Figura 16'!$C$27:$C$30</c:f>
              <c:numCache>
                <c:formatCode>0.0%</c:formatCode>
                <c:ptCount val="4"/>
                <c:pt idx="0">
                  <c:v>0.48699999999999999</c:v>
                </c:pt>
                <c:pt idx="1">
                  <c:v>0.52200000000000002</c:v>
                </c:pt>
                <c:pt idx="2">
                  <c:v>0.53100000000000003</c:v>
                </c:pt>
                <c:pt idx="3">
                  <c:v>0.58299999999999996</c:v>
                </c:pt>
              </c:numCache>
            </c:numRef>
          </c:val>
          <c:extLst>
            <c:ext xmlns:c16="http://schemas.microsoft.com/office/drawing/2014/chart" uri="{C3380CC4-5D6E-409C-BE32-E72D297353CC}">
              <c16:uniqueId val="{00000000-CAC1-45F9-BEF9-6FAD486E3079}"/>
            </c:ext>
          </c:extLst>
        </c:ser>
        <c:ser>
          <c:idx val="1"/>
          <c:order val="1"/>
          <c:tx>
            <c:strRef>
              <c:f>'Figura 16'!$D$26</c:f>
              <c:strCache>
                <c:ptCount val="1"/>
                <c:pt idx="0">
                  <c:v>Formal</c:v>
                </c:pt>
              </c:strCache>
            </c:strRef>
          </c:tx>
          <c:spPr>
            <a:solidFill>
              <a:schemeClr val="accent1">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'Figura 16'!$B$27:$B$30</c:f>
              <c:strCache>
                <c:ptCount val="4"/>
                <c:pt idx="0">
                  <c:v>EME IV (2015)</c:v>
                </c:pt>
                <c:pt idx="1">
                  <c:v>EME V (2017)</c:v>
                </c:pt>
                <c:pt idx="2">
                  <c:v>EME VI (2019)</c:v>
                </c:pt>
                <c:pt idx="3">
                  <c:v>EME VII (2022)</c:v>
                </c:pt>
              </c:strCache>
            </c:strRef>
          </c:cat>
          <c:val>
            <c:numRef>
              <c:f>'Figura 16'!$D$27:$D$30</c:f>
              <c:numCache>
                <c:formatCode>0.0%</c:formatCode>
                <c:ptCount val="4"/>
                <c:pt idx="0">
                  <c:v>0.51300000000000001</c:v>
                </c:pt>
                <c:pt idx="1">
                  <c:v>0.47799999999999998</c:v>
                </c:pt>
                <c:pt idx="2">
                  <c:v>0.46899999999999997</c:v>
                </c:pt>
                <c:pt idx="3">
                  <c:v>0.41700000000000004</c:v>
                </c:pt>
              </c:numCache>
            </c:numRef>
          </c:val>
          <c:extLst>
            <c:ext xmlns:c16="http://schemas.microsoft.com/office/drawing/2014/chart" uri="{C3380CC4-5D6E-409C-BE32-E72D297353CC}">
              <c16:uniqueId val="{00000001-CAC1-45F9-BEF9-6FAD486E3079}"/>
            </c:ext>
          </c:extLst>
        </c:ser>
        <c:dLbls>
          <c:showLegendKey val="0"/>
          <c:showVal val="0"/>
          <c:showCatName val="0"/>
          <c:showSerName val="0"/>
          <c:showPercent val="0"/>
          <c:showBubbleSize val="0"/>
        </c:dLbls>
        <c:gapWidth val="150"/>
        <c:overlap val="100"/>
        <c:axId val="106445856"/>
        <c:axId val="98630608"/>
      </c:barChart>
      <c:catAx>
        <c:axId val="106445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98630608"/>
        <c:crosses val="autoZero"/>
        <c:auto val="1"/>
        <c:lblAlgn val="ctr"/>
        <c:lblOffset val="100"/>
        <c:noMultiLvlLbl val="0"/>
      </c:catAx>
      <c:valAx>
        <c:axId val="986306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064458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496326433625344E-2"/>
          <c:y val="0.12536689557723127"/>
          <c:w val="0.89783480682030181"/>
          <c:h val="0.71111289812153289"/>
        </c:manualLayout>
      </c:layout>
      <c:lineChart>
        <c:grouping val="standard"/>
        <c:varyColors val="0"/>
        <c:ser>
          <c:idx val="0"/>
          <c:order val="0"/>
          <c:tx>
            <c:strRef>
              <c:f>'Figuras 17 y 18'!$L$27</c:f>
              <c:strCache>
                <c:ptCount val="1"/>
                <c:pt idx="0">
                  <c:v>Informalidad previsional ESI (límite inferior)</c:v>
                </c:pt>
              </c:strCache>
            </c:strRef>
          </c:tx>
          <c:spPr>
            <a:ln w="28575" cap="rnd">
              <a:solidFill>
                <a:schemeClr val="accent1">
                  <a:lumMod val="60000"/>
                  <a:lumOff val="40000"/>
                </a:schemeClr>
              </a:solidFill>
              <a:prstDash val="sysDash"/>
              <a:round/>
            </a:ln>
            <a:effectLst/>
          </c:spPr>
          <c:marker>
            <c:symbol val="none"/>
          </c:marker>
          <c:cat>
            <c:numRef>
              <c:f>'Figuras 17 y 18'!$J$28:$J$37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'Figuras 17 y 18'!$L$28:$L$37</c:f>
              <c:numCache>
                <c:formatCode>0.0%</c:formatCode>
                <c:ptCount val="10"/>
                <c:pt idx="0">
                  <c:v>0.32448129042082929</c:v>
                </c:pt>
                <c:pt idx="1">
                  <c:v>0.33716203901705522</c:v>
                </c:pt>
                <c:pt idx="2">
                  <c:v>0.33337297002763899</c:v>
                </c:pt>
                <c:pt idx="3">
                  <c:v>0.33991907810971411</c:v>
                </c:pt>
                <c:pt idx="4">
                  <c:v>0.3451859577021944</c:v>
                </c:pt>
                <c:pt idx="5">
                  <c:v>0.33454822628771708</c:v>
                </c:pt>
                <c:pt idx="6">
                  <c:v>0.31000677203693505</c:v>
                </c:pt>
                <c:pt idx="7">
                  <c:v>0.28120890076419636</c:v>
                </c:pt>
                <c:pt idx="8">
                  <c:v>0.2954747614786063</c:v>
                </c:pt>
                <c:pt idx="9">
                  <c:v>0.28562580858025366</c:v>
                </c:pt>
              </c:numCache>
            </c:numRef>
          </c:val>
          <c:smooth val="0"/>
          <c:extLst>
            <c:ext xmlns:c16="http://schemas.microsoft.com/office/drawing/2014/chart" uri="{C3380CC4-5D6E-409C-BE32-E72D297353CC}">
              <c16:uniqueId val="{00000000-DB3A-495A-BC99-4A317478F7D7}"/>
            </c:ext>
          </c:extLst>
        </c:ser>
        <c:ser>
          <c:idx val="1"/>
          <c:order val="1"/>
          <c:tx>
            <c:strRef>
              <c:f>'Figuras 17 y 18'!$M$27</c:f>
              <c:strCache>
                <c:ptCount val="1"/>
                <c:pt idx="0">
                  <c:v>Informalidad previsional ESI (límite superior)</c:v>
                </c:pt>
              </c:strCache>
            </c:strRef>
          </c:tx>
          <c:spPr>
            <a:ln w="28575" cap="rnd">
              <a:solidFill>
                <a:schemeClr val="accent1">
                  <a:lumMod val="60000"/>
                  <a:lumOff val="40000"/>
                </a:schemeClr>
              </a:solidFill>
              <a:prstDash val="sysDash"/>
              <a:round/>
            </a:ln>
            <a:effectLst/>
          </c:spPr>
          <c:marker>
            <c:symbol val="none"/>
          </c:marker>
          <c:cat>
            <c:numRef>
              <c:f>'Figuras 17 y 18'!$J$28:$J$37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'Figuras 17 y 18'!$M$28:$M$37</c:f>
              <c:numCache>
                <c:formatCode>0.0%</c:formatCode>
                <c:ptCount val="10"/>
                <c:pt idx="0">
                  <c:v>0.36200030951465867</c:v>
                </c:pt>
                <c:pt idx="1">
                  <c:v>0.37098659933793243</c:v>
                </c:pt>
                <c:pt idx="2">
                  <c:v>0.36843754417377816</c:v>
                </c:pt>
                <c:pt idx="3">
                  <c:v>0.37719481538307709</c:v>
                </c:pt>
                <c:pt idx="4">
                  <c:v>0.38269344171195308</c:v>
                </c:pt>
                <c:pt idx="5">
                  <c:v>0.37271534106623017</c:v>
                </c:pt>
                <c:pt idx="6">
                  <c:v>0.35319375383188656</c:v>
                </c:pt>
                <c:pt idx="7">
                  <c:v>0.32551267031257369</c:v>
                </c:pt>
                <c:pt idx="8">
                  <c:v>0.32893013318815245</c:v>
                </c:pt>
                <c:pt idx="9">
                  <c:v>0.3208092588752024</c:v>
                </c:pt>
              </c:numCache>
            </c:numRef>
          </c:val>
          <c:smooth val="0"/>
          <c:extLst>
            <c:ext xmlns:c16="http://schemas.microsoft.com/office/drawing/2014/chart" uri="{C3380CC4-5D6E-409C-BE32-E72D297353CC}">
              <c16:uniqueId val="{00000001-DB3A-495A-BC99-4A317478F7D7}"/>
            </c:ext>
          </c:extLst>
        </c:ser>
        <c:ser>
          <c:idx val="2"/>
          <c:order val="2"/>
          <c:tx>
            <c:strRef>
              <c:f>'Figuras 17 y 18'!$N$27</c:f>
              <c:strCache>
                <c:ptCount val="1"/>
                <c:pt idx="0">
                  <c:v>Informalidad previsional SP</c:v>
                </c:pt>
              </c:strCache>
            </c:strRef>
          </c:tx>
          <c:spPr>
            <a:ln w="28575" cap="rnd">
              <a:solidFill>
                <a:schemeClr val="tx2"/>
              </a:solidFill>
              <a:round/>
            </a:ln>
            <a:effectLst/>
          </c:spPr>
          <c:marker>
            <c:symbol val="circle"/>
            <c:size val="6"/>
            <c:spPr>
              <a:solidFill>
                <a:schemeClr val="tx2"/>
              </a:solidFill>
              <a:ln w="9525">
                <a:solidFill>
                  <a:schemeClr val="accent1">
                    <a:lumMod val="60000"/>
                    <a:lumOff val="40000"/>
                  </a:schemeClr>
                </a:solidFill>
              </a:ln>
              <a:effectLst/>
            </c:spPr>
          </c:marker>
          <c:cat>
            <c:numRef>
              <c:f>'Figuras 17 y 18'!$J$28:$J$37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'Figuras 17 y 18'!$N$28:$N$37</c:f>
              <c:numCache>
                <c:formatCode>0.0%</c:formatCode>
                <c:ptCount val="10"/>
                <c:pt idx="0">
                  <c:v>0.38560915849952204</c:v>
                </c:pt>
                <c:pt idx="1">
                  <c:v>0.38254593303253392</c:v>
                </c:pt>
                <c:pt idx="2">
                  <c:v>0.38423279400675703</c:v>
                </c:pt>
                <c:pt idx="3">
                  <c:v>0.3817822824614141</c:v>
                </c:pt>
                <c:pt idx="4">
                  <c:v>0.38615275412396632</c:v>
                </c:pt>
                <c:pt idx="5">
                  <c:v>0.37634331246083186</c:v>
                </c:pt>
                <c:pt idx="6">
                  <c:v>0.35635056038849333</c:v>
                </c:pt>
                <c:pt idx="7">
                  <c:v>0.2885770530872459</c:v>
                </c:pt>
                <c:pt idx="8">
                  <c:v>0.29239974000744828</c:v>
                </c:pt>
                <c:pt idx="9">
                  <c:v>0.30703287404041324</c:v>
                </c:pt>
              </c:numCache>
            </c:numRef>
          </c:val>
          <c:smooth val="0"/>
          <c:extLst>
            <c:ext xmlns:c16="http://schemas.microsoft.com/office/drawing/2014/chart" uri="{C3380CC4-5D6E-409C-BE32-E72D297353CC}">
              <c16:uniqueId val="{00000002-DB3A-495A-BC99-4A317478F7D7}"/>
            </c:ext>
          </c:extLst>
        </c:ser>
        <c:dLbls>
          <c:showLegendKey val="0"/>
          <c:showVal val="0"/>
          <c:showCatName val="0"/>
          <c:showSerName val="0"/>
          <c:showPercent val="0"/>
          <c:showBubbleSize val="0"/>
        </c:dLbls>
        <c:smooth val="0"/>
        <c:axId val="716165503"/>
        <c:axId val="716166943"/>
      </c:lineChart>
      <c:catAx>
        <c:axId val="716165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16166943"/>
        <c:crosses val="autoZero"/>
        <c:auto val="1"/>
        <c:lblAlgn val="ctr"/>
        <c:lblOffset val="100"/>
        <c:noMultiLvlLbl val="0"/>
      </c:catAx>
      <c:valAx>
        <c:axId val="716166943"/>
        <c:scaling>
          <c:orientation val="minMax"/>
          <c:min val="0.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16165503"/>
        <c:crosses val="autoZero"/>
        <c:crossBetween val="between"/>
      </c:valAx>
      <c:spPr>
        <a:solidFill>
          <a:schemeClr val="bg1"/>
        </a:solidFill>
        <a:ln>
          <a:noFill/>
        </a:ln>
        <a:effectLst/>
      </c:spPr>
    </c:plotArea>
    <c:legend>
      <c:legendPos val="b"/>
      <c:layout>
        <c:manualLayout>
          <c:xMode val="edge"/>
          <c:yMode val="edge"/>
          <c:x val="9.8948942896172551E-2"/>
          <c:y val="0.90910279994831067"/>
          <c:w val="0.80210211420765487"/>
          <c:h val="7.088331114820889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496326433625344E-2"/>
          <c:y val="0.12536689557723127"/>
          <c:w val="0.89783480682030181"/>
          <c:h val="0.71111289812153289"/>
        </c:manualLayout>
      </c:layout>
      <c:lineChart>
        <c:grouping val="standard"/>
        <c:varyColors val="0"/>
        <c:ser>
          <c:idx val="1"/>
          <c:order val="1"/>
          <c:tx>
            <c:strRef>
              <c:f>'Figuras 17 y 18'!$D$27</c:f>
              <c:strCache>
                <c:ptCount val="1"/>
                <c:pt idx="0">
                  <c:v>Cotizantes ESI (límite inferior)</c:v>
                </c:pt>
              </c:strCache>
            </c:strRef>
          </c:tx>
          <c:spPr>
            <a:ln w="28575" cap="rnd">
              <a:solidFill>
                <a:schemeClr val="accent1">
                  <a:lumMod val="60000"/>
                  <a:lumOff val="40000"/>
                </a:schemeClr>
              </a:solidFill>
              <a:prstDash val="sysDash"/>
              <a:round/>
            </a:ln>
            <a:effectLst/>
          </c:spPr>
          <c:marker>
            <c:symbol val="none"/>
          </c:marker>
          <c:cat>
            <c:numRef>
              <c:f>'Figuras 17 y 18'!$B$28:$B$37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'Figuras 17 y 18'!$D$28:$D$37</c:f>
              <c:numCache>
                <c:formatCode>_(* #,##0_);_(* \(#,##0\);_(* "-"_);_(@_)</c:formatCode>
                <c:ptCount val="10"/>
                <c:pt idx="0">
                  <c:v>5254111.9493622528</c:v>
                </c:pt>
                <c:pt idx="1">
                  <c:v>5227987.843065843</c:v>
                </c:pt>
                <c:pt idx="2">
                  <c:v>5365118.3320230804</c:v>
                </c:pt>
                <c:pt idx="3">
                  <c:v>5370291.2493472937</c:v>
                </c:pt>
                <c:pt idx="4">
                  <c:v>5475218.3846668731</c:v>
                </c:pt>
                <c:pt idx="5">
                  <c:v>5660070.990978254</c:v>
                </c:pt>
                <c:pt idx="6">
                  <c:v>5966805.8183760503</c:v>
                </c:pt>
                <c:pt idx="7">
                  <c:v>5478318.1046224926</c:v>
                </c:pt>
                <c:pt idx="8">
                  <c:v>5889052.9393272521</c:v>
                </c:pt>
                <c:pt idx="9">
                  <c:v>6153392.4141474376</c:v>
                </c:pt>
              </c:numCache>
            </c:numRef>
          </c:val>
          <c:smooth val="0"/>
          <c:extLst>
            <c:ext xmlns:c16="http://schemas.microsoft.com/office/drawing/2014/chart" uri="{C3380CC4-5D6E-409C-BE32-E72D297353CC}">
              <c16:uniqueId val="{00000000-E2AF-4DA1-949A-7645E79D7E96}"/>
            </c:ext>
          </c:extLst>
        </c:ser>
        <c:ser>
          <c:idx val="2"/>
          <c:order val="2"/>
          <c:tx>
            <c:strRef>
              <c:f>'Figuras 17 y 18'!$E$27</c:f>
              <c:strCache>
                <c:ptCount val="1"/>
                <c:pt idx="0">
                  <c:v>Cotizantes ESI (límite superior)</c:v>
                </c:pt>
              </c:strCache>
            </c:strRef>
          </c:tx>
          <c:spPr>
            <a:ln w="28575" cap="rnd">
              <a:solidFill>
                <a:schemeClr val="accent1">
                  <a:lumMod val="60000"/>
                  <a:lumOff val="40000"/>
                </a:schemeClr>
              </a:solidFill>
              <a:prstDash val="sysDash"/>
              <a:round/>
            </a:ln>
            <a:effectLst/>
          </c:spPr>
          <c:marker>
            <c:symbol val="none"/>
          </c:marker>
          <c:cat>
            <c:numRef>
              <c:f>'Figuras 17 y 18'!$B$28:$B$37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'Figuras 17 y 18'!$E$28:$E$37</c:f>
              <c:numCache>
                <c:formatCode>_(* #,##0_);_(* \(#,##0\);_(* "-"_);_(@_)</c:formatCode>
                <c:ptCount val="10"/>
                <c:pt idx="0">
                  <c:v>5479826.0264204144</c:v>
                </c:pt>
                <c:pt idx="1">
                  <c:v>5431866.3753266521</c:v>
                </c:pt>
                <c:pt idx="2">
                  <c:v>5579800.6356296726</c:v>
                </c:pt>
                <c:pt idx="3">
                  <c:v>5597481.9649767578</c:v>
                </c:pt>
                <c:pt idx="4">
                  <c:v>5702913.4026377574</c:v>
                </c:pt>
                <c:pt idx="5">
                  <c:v>5899223.7247733548</c:v>
                </c:pt>
                <c:pt idx="6">
                  <c:v>6239375.4877581084</c:v>
                </c:pt>
                <c:pt idx="7">
                  <c:v>5738689.9700451754</c:v>
                </c:pt>
                <c:pt idx="8">
                  <c:v>6107917.8494450198</c:v>
                </c:pt>
                <c:pt idx="9">
                  <c:v>6380184.2089073826</c:v>
                </c:pt>
              </c:numCache>
            </c:numRef>
          </c:val>
          <c:smooth val="0"/>
          <c:extLst>
            <c:ext xmlns:c16="http://schemas.microsoft.com/office/drawing/2014/chart" uri="{C3380CC4-5D6E-409C-BE32-E72D297353CC}">
              <c16:uniqueId val="{00000001-E2AF-4DA1-949A-7645E79D7E96}"/>
            </c:ext>
          </c:extLst>
        </c:ser>
        <c:ser>
          <c:idx val="3"/>
          <c:order val="3"/>
          <c:tx>
            <c:strRef>
              <c:f>'Figuras 17 y 18'!$F$27</c:f>
              <c:strCache>
                <c:ptCount val="1"/>
                <c:pt idx="0">
                  <c:v>Cotizantes SP</c:v>
                </c:pt>
              </c:strCache>
            </c:strRef>
          </c:tx>
          <c:spPr>
            <a:ln w="28575" cap="rnd">
              <a:solidFill>
                <a:schemeClr val="tx2"/>
              </a:solidFill>
              <a:round/>
            </a:ln>
            <a:effectLst/>
          </c:spPr>
          <c:marker>
            <c:symbol val="circle"/>
            <c:size val="5"/>
            <c:spPr>
              <a:solidFill>
                <a:schemeClr val="tx2"/>
              </a:solidFill>
              <a:ln w="9525">
                <a:solidFill>
                  <a:schemeClr val="accent4"/>
                </a:solidFill>
              </a:ln>
              <a:effectLst/>
            </c:spPr>
          </c:marker>
          <c:cat>
            <c:numRef>
              <c:f>'Figuras 17 y 18'!$B$28:$B$37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'Figuras 17 y 18'!$F$28:$F$37</c:f>
              <c:numCache>
                <c:formatCode>_(* #,##0_);_(* \(#,##0\);_(* "-"_);_(@_)</c:formatCode>
                <c:ptCount val="10"/>
                <c:pt idx="0">
                  <c:v>5006910</c:v>
                </c:pt>
                <c:pt idx="1">
                  <c:v>5093761.666666667</c:v>
                </c:pt>
                <c:pt idx="2">
                  <c:v>5189975.333333333</c:v>
                </c:pt>
                <c:pt idx="3">
                  <c:v>5255289.666666667</c:v>
                </c:pt>
                <c:pt idx="4">
                  <c:v>5382622</c:v>
                </c:pt>
                <c:pt idx="5">
                  <c:v>5559430.666666667</c:v>
                </c:pt>
                <c:pt idx="6">
                  <c:v>5848927.666666666</c:v>
                </c:pt>
                <c:pt idx="7">
                  <c:v>5710034.666666667</c:v>
                </c:pt>
                <c:pt idx="8">
                  <c:v>6140758</c:v>
                </c:pt>
                <c:pt idx="9">
                  <c:v>6212609.666666666</c:v>
                </c:pt>
              </c:numCache>
            </c:numRef>
          </c:val>
          <c:smooth val="0"/>
          <c:extLst>
            <c:ext xmlns:c16="http://schemas.microsoft.com/office/drawing/2014/chart" uri="{C3380CC4-5D6E-409C-BE32-E72D297353CC}">
              <c16:uniqueId val="{00000002-E2AF-4DA1-949A-7645E79D7E96}"/>
            </c:ext>
          </c:extLst>
        </c:ser>
        <c:dLbls>
          <c:showLegendKey val="0"/>
          <c:showVal val="0"/>
          <c:showCatName val="0"/>
          <c:showSerName val="0"/>
          <c:showPercent val="0"/>
          <c:showBubbleSize val="0"/>
        </c:dLbls>
        <c:smooth val="0"/>
        <c:axId val="716165503"/>
        <c:axId val="716166943"/>
        <c:extLst>
          <c:ext xmlns:c15="http://schemas.microsoft.com/office/drawing/2012/chart" uri="{02D57815-91ED-43cb-92C2-25804820EDAC}">
            <c15:filteredLineSeries>
              <c15:ser>
                <c:idx val="0"/>
                <c:order val="0"/>
                <c:tx>
                  <c:strRef>
                    <c:extLst>
                      <c:ext uri="{02D57815-91ED-43cb-92C2-25804820EDAC}">
                        <c15:formulaRef>
                          <c15:sqref>'Figuras 17 y 18'!$B$27</c15:sqref>
                        </c15:formulaRef>
                      </c:ext>
                    </c:extLst>
                    <c:strCache>
                      <c:ptCount val="1"/>
                      <c:pt idx="0">
                        <c:v>ano_trimestre</c:v>
                      </c:pt>
                    </c:strCache>
                  </c:strRef>
                </c:tx>
                <c:spPr>
                  <a:ln w="28575" cap="rnd">
                    <a:solidFill>
                      <a:schemeClr val="accent1">
                        <a:lumMod val="60000"/>
                        <a:lumOff val="40000"/>
                      </a:schemeClr>
                    </a:solidFill>
                    <a:prstDash val="sysDash"/>
                    <a:round/>
                  </a:ln>
                  <a:effectLst/>
                </c:spPr>
                <c:marker>
                  <c:symbol val="none"/>
                </c:marker>
                <c:cat>
                  <c:numRef>
                    <c:extLst>
                      <c:ext uri="{02D57815-91ED-43cb-92C2-25804820EDAC}">
                        <c15:formulaRef>
                          <c15:sqref>'Figuras 17 y 18'!$B$28:$B$37</c15:sqref>
                        </c15:formulaRef>
                      </c:ext>
                    </c:extLst>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extLst>
                      <c:ext uri="{02D57815-91ED-43cb-92C2-25804820EDAC}">
                        <c15:formulaRef>
                          <c15:sqref>'Figuras 17 y 18'!$B$28:$B$37</c15:sqref>
                        </c15:formulaRef>
                      </c:ext>
                    </c:extLst>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val>
                <c:smooth val="0"/>
                <c:extLst>
                  <c:ext xmlns:c16="http://schemas.microsoft.com/office/drawing/2014/chart" uri="{C3380CC4-5D6E-409C-BE32-E72D297353CC}">
                    <c16:uniqueId val="{00000003-E2AF-4DA1-949A-7645E79D7E96}"/>
                  </c:ext>
                </c:extLst>
              </c15:ser>
            </c15:filteredLineSeries>
          </c:ext>
        </c:extLst>
      </c:lineChart>
      <c:catAx>
        <c:axId val="716165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16166943"/>
        <c:crosses val="autoZero"/>
        <c:auto val="1"/>
        <c:lblAlgn val="ctr"/>
        <c:lblOffset val="100"/>
        <c:noMultiLvlLbl val="0"/>
      </c:catAx>
      <c:valAx>
        <c:axId val="716166943"/>
        <c:scaling>
          <c:orientation val="minMax"/>
          <c:min val="350000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16165503"/>
        <c:crosses val="autoZero"/>
        <c:crossBetween val="between"/>
      </c:valAx>
      <c:spPr>
        <a:solidFill>
          <a:schemeClr val="bg1"/>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496326433625344E-2"/>
          <c:y val="0.12536689557723127"/>
          <c:w val="0.89783480682030181"/>
          <c:h val="0.71111289812153289"/>
        </c:manualLayout>
      </c:layout>
      <c:lineChart>
        <c:grouping val="standard"/>
        <c:varyColors val="0"/>
        <c:ser>
          <c:idx val="0"/>
          <c:order val="0"/>
          <c:tx>
            <c:strRef>
              <c:f>New!$L$27</c:f>
              <c:strCache>
                <c:ptCount val="1"/>
                <c:pt idx="0">
                  <c:v>Informalidad previsional ESI (límite inferior)</c:v>
                </c:pt>
              </c:strCache>
            </c:strRef>
          </c:tx>
          <c:spPr>
            <a:ln w="28575" cap="rnd">
              <a:solidFill>
                <a:schemeClr val="accent1">
                  <a:lumMod val="60000"/>
                  <a:lumOff val="40000"/>
                </a:schemeClr>
              </a:solidFill>
              <a:prstDash val="sysDash"/>
              <a:round/>
            </a:ln>
            <a:effectLst/>
          </c:spPr>
          <c:marker>
            <c:symbol val="none"/>
          </c:marker>
          <c:cat>
            <c:numRef>
              <c:f>New!$J$28:$J$37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New!$L$28:$L$37</c:f>
              <c:numCache>
                <c:formatCode>0.0%</c:formatCode>
                <c:ptCount val="10"/>
                <c:pt idx="0">
                  <c:v>0.3238187646367916</c:v>
                </c:pt>
                <c:pt idx="1">
                  <c:v>0.33760970925502543</c:v>
                </c:pt>
                <c:pt idx="2">
                  <c:v>0.33404021854131316</c:v>
                </c:pt>
                <c:pt idx="3">
                  <c:v>0.34117132310015619</c:v>
                </c:pt>
                <c:pt idx="4">
                  <c:v>0.34647446010229255</c:v>
                </c:pt>
                <c:pt idx="5">
                  <c:v>0.33546763982813721</c:v>
                </c:pt>
                <c:pt idx="6">
                  <c:v>0.31202615801632838</c:v>
                </c:pt>
                <c:pt idx="7">
                  <c:v>0.28089934096827784</c:v>
                </c:pt>
                <c:pt idx="8">
                  <c:v>0.29512759940302014</c:v>
                </c:pt>
                <c:pt idx="9">
                  <c:v>0.28457392929678227</c:v>
                </c:pt>
              </c:numCache>
            </c:numRef>
          </c:val>
          <c:smooth val="0"/>
          <c:extLst>
            <c:ext xmlns:c16="http://schemas.microsoft.com/office/drawing/2014/chart" uri="{C3380CC4-5D6E-409C-BE32-E72D297353CC}">
              <c16:uniqueId val="{00000000-1C77-45DB-901F-832604D1639C}"/>
            </c:ext>
          </c:extLst>
        </c:ser>
        <c:ser>
          <c:idx val="1"/>
          <c:order val="1"/>
          <c:tx>
            <c:strRef>
              <c:f>New!$M$27</c:f>
              <c:strCache>
                <c:ptCount val="1"/>
                <c:pt idx="0">
                  <c:v>Informalidad previsional ESI (límite superior)</c:v>
                </c:pt>
              </c:strCache>
            </c:strRef>
          </c:tx>
          <c:spPr>
            <a:ln w="28575" cap="rnd">
              <a:solidFill>
                <a:schemeClr val="accent1">
                  <a:lumMod val="60000"/>
                  <a:lumOff val="40000"/>
                </a:schemeClr>
              </a:solidFill>
              <a:prstDash val="sysDash"/>
              <a:round/>
            </a:ln>
            <a:effectLst/>
          </c:spPr>
          <c:marker>
            <c:symbol val="none"/>
          </c:marker>
          <c:cat>
            <c:numRef>
              <c:f>New!$J$28:$J$37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New!$M$28:$M$37</c:f>
              <c:numCache>
                <c:formatCode>0.0%</c:formatCode>
                <c:ptCount val="10"/>
                <c:pt idx="0">
                  <c:v>0.36189510154951576</c:v>
                </c:pt>
                <c:pt idx="1">
                  <c:v>0.37175256691330116</c:v>
                </c:pt>
                <c:pt idx="2">
                  <c:v>0.36794022214548394</c:v>
                </c:pt>
                <c:pt idx="3">
                  <c:v>0.37689838819651622</c:v>
                </c:pt>
                <c:pt idx="4">
                  <c:v>0.38117862958196025</c:v>
                </c:pt>
                <c:pt idx="5">
                  <c:v>0.37397371609813668</c:v>
                </c:pt>
                <c:pt idx="6">
                  <c:v>0.35183539746280601</c:v>
                </c:pt>
                <c:pt idx="7">
                  <c:v>0.32620810677937873</c:v>
                </c:pt>
                <c:pt idx="8">
                  <c:v>0.32885744279249374</c:v>
                </c:pt>
                <c:pt idx="9">
                  <c:v>0.32026359315226083</c:v>
                </c:pt>
              </c:numCache>
            </c:numRef>
          </c:val>
          <c:smooth val="0"/>
          <c:extLst>
            <c:ext xmlns:c16="http://schemas.microsoft.com/office/drawing/2014/chart" uri="{C3380CC4-5D6E-409C-BE32-E72D297353CC}">
              <c16:uniqueId val="{00000001-1C77-45DB-901F-832604D1639C}"/>
            </c:ext>
          </c:extLst>
        </c:ser>
        <c:ser>
          <c:idx val="2"/>
          <c:order val="2"/>
          <c:tx>
            <c:strRef>
              <c:f>New!$N$27</c:f>
              <c:strCache>
                <c:ptCount val="1"/>
                <c:pt idx="0">
                  <c:v>Informalidad previsional SP</c:v>
                </c:pt>
              </c:strCache>
            </c:strRef>
          </c:tx>
          <c:spPr>
            <a:ln w="28575" cap="rnd">
              <a:solidFill>
                <a:schemeClr val="tx2"/>
              </a:solidFill>
              <a:round/>
            </a:ln>
            <a:effectLst/>
          </c:spPr>
          <c:marker>
            <c:symbol val="circle"/>
            <c:size val="6"/>
            <c:spPr>
              <a:solidFill>
                <a:schemeClr val="tx2"/>
              </a:solidFill>
              <a:ln w="9525">
                <a:solidFill>
                  <a:schemeClr val="accent1">
                    <a:lumMod val="60000"/>
                    <a:lumOff val="40000"/>
                  </a:schemeClr>
                </a:solidFill>
              </a:ln>
              <a:effectLst/>
            </c:spPr>
          </c:marker>
          <c:cat>
            <c:numRef>
              <c:f>New!$J$28:$J$37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New!$N$28:$N$37</c:f>
              <c:numCache>
                <c:formatCode>0.0%</c:formatCode>
                <c:ptCount val="10"/>
                <c:pt idx="0">
                  <c:v>0.38560915849952204</c:v>
                </c:pt>
                <c:pt idx="1">
                  <c:v>0.38254593303253392</c:v>
                </c:pt>
                <c:pt idx="2">
                  <c:v>0.38423279400675703</c:v>
                </c:pt>
                <c:pt idx="3">
                  <c:v>0.3817822824614141</c:v>
                </c:pt>
                <c:pt idx="4">
                  <c:v>0.38615275412396632</c:v>
                </c:pt>
                <c:pt idx="5">
                  <c:v>0.37634331246083186</c:v>
                </c:pt>
                <c:pt idx="6">
                  <c:v>0.35635056038849333</c:v>
                </c:pt>
                <c:pt idx="7">
                  <c:v>0.2885770530872459</c:v>
                </c:pt>
                <c:pt idx="8">
                  <c:v>0.29239974000744828</c:v>
                </c:pt>
                <c:pt idx="9">
                  <c:v>0.30703287404041324</c:v>
                </c:pt>
              </c:numCache>
            </c:numRef>
          </c:val>
          <c:smooth val="0"/>
          <c:extLst>
            <c:ext xmlns:c16="http://schemas.microsoft.com/office/drawing/2014/chart" uri="{C3380CC4-5D6E-409C-BE32-E72D297353CC}">
              <c16:uniqueId val="{00000002-1C77-45DB-901F-832604D1639C}"/>
            </c:ext>
          </c:extLst>
        </c:ser>
        <c:dLbls>
          <c:showLegendKey val="0"/>
          <c:showVal val="0"/>
          <c:showCatName val="0"/>
          <c:showSerName val="0"/>
          <c:showPercent val="0"/>
          <c:showBubbleSize val="0"/>
        </c:dLbls>
        <c:smooth val="0"/>
        <c:axId val="716165503"/>
        <c:axId val="716166943"/>
      </c:lineChart>
      <c:catAx>
        <c:axId val="716165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16166943"/>
        <c:crosses val="autoZero"/>
        <c:auto val="1"/>
        <c:lblAlgn val="ctr"/>
        <c:lblOffset val="100"/>
        <c:noMultiLvlLbl val="0"/>
      </c:catAx>
      <c:valAx>
        <c:axId val="716166943"/>
        <c:scaling>
          <c:orientation val="minMax"/>
          <c:min val="0.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16165503"/>
        <c:crosses val="autoZero"/>
        <c:crossBetween val="between"/>
      </c:valAx>
      <c:spPr>
        <a:solidFill>
          <a:schemeClr val="bg1"/>
        </a:solidFill>
        <a:ln>
          <a:noFill/>
        </a:ln>
        <a:effectLst/>
      </c:spPr>
    </c:plotArea>
    <c:legend>
      <c:legendPos val="b"/>
      <c:layout>
        <c:manualLayout>
          <c:xMode val="edge"/>
          <c:yMode val="edge"/>
          <c:x val="9.8948942896172551E-2"/>
          <c:y val="0.90910279994831067"/>
          <c:w val="0.80210211420765487"/>
          <c:h val="7.088331114820889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r>
              <a:rPr lang="es-CL" sz="1000">
                <a:latin typeface="+mj-lt"/>
              </a:rPr>
              <a:t>Diciembre 2023</a:t>
            </a: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endParaRPr lang="es-CL"/>
        </a:p>
      </c:txPr>
    </c:title>
    <c:autoTitleDeleted val="0"/>
    <c:plotArea>
      <c:layout/>
      <c:pieChart>
        <c:varyColors val="1"/>
        <c:ser>
          <c:idx val="0"/>
          <c:order val="0"/>
          <c:spPr>
            <a:solidFill>
              <a:schemeClr val="accent4">
                <a:lumMod val="75000"/>
              </a:schemeClr>
            </a:solidFill>
          </c:spPr>
          <c:dPt>
            <c:idx val="0"/>
            <c:bubble3D val="0"/>
            <c:spPr>
              <a:solidFill>
                <a:srgbClr val="0C948A"/>
              </a:solidFill>
              <a:ln w="19050">
                <a:solidFill>
                  <a:schemeClr val="lt1"/>
                </a:solidFill>
              </a:ln>
              <a:effectLst/>
            </c:spPr>
            <c:extLst>
              <c:ext xmlns:c16="http://schemas.microsoft.com/office/drawing/2014/chart" uri="{C3380CC4-5D6E-409C-BE32-E72D297353CC}">
                <c16:uniqueId val="{00000001-546A-4372-8D96-CB11B347AAB5}"/>
              </c:ext>
            </c:extLst>
          </c:dPt>
          <c:dPt>
            <c:idx val="1"/>
            <c:bubble3D val="0"/>
            <c:spPr>
              <a:solidFill>
                <a:srgbClr val="E7E6E6">
                  <a:lumMod val="75000"/>
                </a:srgbClr>
              </a:solidFill>
              <a:ln w="19050">
                <a:solidFill>
                  <a:schemeClr val="lt1"/>
                </a:solidFill>
              </a:ln>
              <a:effectLst/>
            </c:spPr>
            <c:extLst>
              <c:ext xmlns:c16="http://schemas.microsoft.com/office/drawing/2014/chart" uri="{C3380CC4-5D6E-409C-BE32-E72D297353CC}">
                <c16:uniqueId val="{00000003-546A-4372-8D96-CB11B347AAB5}"/>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46A-4372-8D96-CB11B347AAB5}"/>
                </c:ext>
              </c:extLst>
            </c:dLbl>
            <c:dLbl>
              <c:idx val="1"/>
              <c:spPr>
                <a:noFill/>
                <a:ln>
                  <a:noFill/>
                </a:ln>
                <a:effectLst/>
              </c:spPr>
              <c:txPr>
                <a:bodyPr rot="0" spcFirstLastPara="1" vertOverflow="ellipsis" vert="horz" wrap="square" lIns="38100" tIns="19050" rIns="38100" bIns="19050" anchor="ctr" anchorCtr="0">
                  <a:spAutoFit/>
                </a:bodyPr>
                <a:lstStyle/>
                <a:p>
                  <a:pPr algn="ctr" rtl="0">
                    <a:defRPr lang="en-US" sz="900" b="1" i="0" u="none" strike="noStrike" kern="1200" baseline="0">
                      <a:solidFill>
                        <a:sysClr val="windowText" lastClr="000000">
                          <a:lumMod val="75000"/>
                          <a:lumOff val="25000"/>
                        </a:sysClr>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46A-4372-8D96-CB11B347AAB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dLblPos val="ct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2'!$B$37:$B$38</c:f>
              <c:strCache>
                <c:ptCount val="2"/>
                <c:pt idx="0">
                  <c:v>PBS Invalidez</c:v>
                </c:pt>
                <c:pt idx="1">
                  <c:v>APS Invalidez</c:v>
                </c:pt>
              </c:strCache>
            </c:strRef>
          </c:cat>
          <c:val>
            <c:numRef>
              <c:f>'Figura 2'!$D$37:$D$38</c:f>
              <c:numCache>
                <c:formatCode>_(* #,##0_);_(* \(#,##0\);_(* "-"_);_(@_)</c:formatCode>
                <c:ptCount val="2"/>
                <c:pt idx="0">
                  <c:v>192805</c:v>
                </c:pt>
                <c:pt idx="1">
                  <c:v>97569</c:v>
                </c:pt>
              </c:numCache>
            </c:numRef>
          </c:val>
          <c:extLst>
            <c:ext xmlns:c16="http://schemas.microsoft.com/office/drawing/2014/chart" uri="{C3380CC4-5D6E-409C-BE32-E72D297353CC}">
              <c16:uniqueId val="{00000004-546A-4372-8D96-CB11B347AAB5}"/>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j-lt"/>
              <a:ea typeface="+mn-ea"/>
              <a:cs typeface="+mn-cs"/>
            </a:defRPr>
          </a:pPr>
          <a:endParaRPr lang="es-CL"/>
        </a:p>
      </c:txPr>
    </c:legend>
    <c:plotVisOnly val="1"/>
    <c:dispBlanksAs val="gap"/>
    <c:showDLblsOverMax val="0"/>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496326433625344E-2"/>
          <c:y val="0.12536689557723127"/>
          <c:w val="0.89783480682030181"/>
          <c:h val="0.71111289812153289"/>
        </c:manualLayout>
      </c:layout>
      <c:lineChart>
        <c:grouping val="standard"/>
        <c:varyColors val="0"/>
        <c:ser>
          <c:idx val="1"/>
          <c:order val="1"/>
          <c:tx>
            <c:strRef>
              <c:f>New!$D$27</c:f>
              <c:strCache>
                <c:ptCount val="1"/>
                <c:pt idx="0">
                  <c:v>Cotizantes ESI (límite inferior)</c:v>
                </c:pt>
              </c:strCache>
            </c:strRef>
          </c:tx>
          <c:spPr>
            <a:ln w="28575" cap="rnd">
              <a:solidFill>
                <a:schemeClr val="accent1">
                  <a:lumMod val="60000"/>
                  <a:lumOff val="40000"/>
                </a:schemeClr>
              </a:solidFill>
              <a:prstDash val="sysDash"/>
              <a:round/>
            </a:ln>
            <a:effectLst/>
          </c:spPr>
          <c:marker>
            <c:symbol val="none"/>
          </c:marker>
          <c:cat>
            <c:numRef>
              <c:f>New!$B$28:$B$37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New!$D$28:$D$37</c:f>
              <c:numCache>
                <c:formatCode>_(* #,##0_);_(* \(#,##0\);_(* "-"_);_(@_)</c:formatCode>
                <c:ptCount val="10"/>
                <c:pt idx="0">
                  <c:v>5254067.060164134</c:v>
                </c:pt>
                <c:pt idx="1">
                  <c:v>5227938.8308935538</c:v>
                </c:pt>
                <c:pt idx="2">
                  <c:v>5365069.2632917231</c:v>
                </c:pt>
                <c:pt idx="3">
                  <c:v>5370244.6877848003</c:v>
                </c:pt>
                <c:pt idx="4">
                  <c:v>5475170.1271854341</c:v>
                </c:pt>
                <c:pt idx="5">
                  <c:v>5660021.8585262196</c:v>
                </c:pt>
                <c:pt idx="6">
                  <c:v>5966757.7490699058</c:v>
                </c:pt>
                <c:pt idx="7">
                  <c:v>5478275.6087314403</c:v>
                </c:pt>
                <c:pt idx="8">
                  <c:v>5888995.1119541833</c:v>
                </c:pt>
                <c:pt idx="9">
                  <c:v>6153331.5042685932</c:v>
                </c:pt>
              </c:numCache>
            </c:numRef>
          </c:val>
          <c:smooth val="0"/>
          <c:extLst>
            <c:ext xmlns:c16="http://schemas.microsoft.com/office/drawing/2014/chart" uri="{C3380CC4-5D6E-409C-BE32-E72D297353CC}">
              <c16:uniqueId val="{00000000-8C9B-4481-AD5C-82D9E56E6969}"/>
            </c:ext>
          </c:extLst>
        </c:ser>
        <c:ser>
          <c:idx val="2"/>
          <c:order val="2"/>
          <c:tx>
            <c:strRef>
              <c:f>New!$E$27</c:f>
              <c:strCache>
                <c:ptCount val="1"/>
                <c:pt idx="0">
                  <c:v>Cotizantes ESI (límite superior)</c:v>
                </c:pt>
              </c:strCache>
            </c:strRef>
          </c:tx>
          <c:spPr>
            <a:ln w="28575" cap="rnd">
              <a:solidFill>
                <a:schemeClr val="accent1">
                  <a:lumMod val="60000"/>
                  <a:lumOff val="40000"/>
                </a:schemeClr>
              </a:solidFill>
              <a:prstDash val="sysDash"/>
              <a:round/>
            </a:ln>
            <a:effectLst/>
          </c:spPr>
          <c:marker>
            <c:symbol val="none"/>
          </c:marker>
          <c:cat>
            <c:numRef>
              <c:f>New!$B$28:$B$37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New!$E$28:$E$37</c:f>
              <c:numCache>
                <c:formatCode>_(* #,##0_);_(* \(#,##0\);_(* "-"_);_(@_)</c:formatCode>
                <c:ptCount val="10"/>
                <c:pt idx="0">
                  <c:v>5479870.9156185323</c:v>
                </c:pt>
                <c:pt idx="1">
                  <c:v>5431915.3874989413</c:v>
                </c:pt>
                <c:pt idx="2">
                  <c:v>5579849.7043610299</c:v>
                </c:pt>
                <c:pt idx="3">
                  <c:v>5597528.5265392512</c:v>
                </c:pt>
                <c:pt idx="4">
                  <c:v>5702961.6601191964</c:v>
                </c:pt>
                <c:pt idx="5">
                  <c:v>5899272.8572253892</c:v>
                </c:pt>
                <c:pt idx="6">
                  <c:v>6239423.5570642529</c:v>
                </c:pt>
                <c:pt idx="7">
                  <c:v>5738732.4659362277</c:v>
                </c:pt>
                <c:pt idx="8">
                  <c:v>6107975.6768180886</c:v>
                </c:pt>
                <c:pt idx="9">
                  <c:v>6380245.1187862279</c:v>
                </c:pt>
              </c:numCache>
            </c:numRef>
          </c:val>
          <c:smooth val="0"/>
          <c:extLst>
            <c:ext xmlns:c16="http://schemas.microsoft.com/office/drawing/2014/chart" uri="{C3380CC4-5D6E-409C-BE32-E72D297353CC}">
              <c16:uniqueId val="{00000001-8C9B-4481-AD5C-82D9E56E6969}"/>
            </c:ext>
          </c:extLst>
        </c:ser>
        <c:ser>
          <c:idx val="3"/>
          <c:order val="3"/>
          <c:tx>
            <c:strRef>
              <c:f>New!$F$27</c:f>
              <c:strCache>
                <c:ptCount val="1"/>
                <c:pt idx="0">
                  <c:v>Cotizantes SP</c:v>
                </c:pt>
              </c:strCache>
            </c:strRef>
          </c:tx>
          <c:spPr>
            <a:ln w="28575" cap="rnd">
              <a:solidFill>
                <a:schemeClr val="tx2"/>
              </a:solidFill>
              <a:round/>
            </a:ln>
            <a:effectLst/>
          </c:spPr>
          <c:marker>
            <c:symbol val="circle"/>
            <c:size val="5"/>
            <c:spPr>
              <a:solidFill>
                <a:schemeClr val="tx2"/>
              </a:solidFill>
              <a:ln w="9525">
                <a:solidFill>
                  <a:schemeClr val="accent4"/>
                </a:solidFill>
              </a:ln>
              <a:effectLst/>
            </c:spPr>
          </c:marker>
          <c:cat>
            <c:numRef>
              <c:f>New!$B$28:$B$37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New!$F$28:$F$37</c:f>
              <c:numCache>
                <c:formatCode>_(* #,##0_);_(* \(#,##0\);_(* "-"_);_(@_)</c:formatCode>
                <c:ptCount val="10"/>
                <c:pt idx="0">
                  <c:v>5006910</c:v>
                </c:pt>
                <c:pt idx="1">
                  <c:v>5093761.666666667</c:v>
                </c:pt>
                <c:pt idx="2">
                  <c:v>5189975.333333333</c:v>
                </c:pt>
                <c:pt idx="3">
                  <c:v>5255289.666666667</c:v>
                </c:pt>
                <c:pt idx="4">
                  <c:v>5382622</c:v>
                </c:pt>
                <c:pt idx="5">
                  <c:v>5559430.666666667</c:v>
                </c:pt>
                <c:pt idx="6">
                  <c:v>5848927.666666666</c:v>
                </c:pt>
                <c:pt idx="7">
                  <c:v>5710034.666666667</c:v>
                </c:pt>
                <c:pt idx="8">
                  <c:v>6140758</c:v>
                </c:pt>
                <c:pt idx="9">
                  <c:v>6212609.666666666</c:v>
                </c:pt>
              </c:numCache>
            </c:numRef>
          </c:val>
          <c:smooth val="0"/>
          <c:extLst>
            <c:ext xmlns:c16="http://schemas.microsoft.com/office/drawing/2014/chart" uri="{C3380CC4-5D6E-409C-BE32-E72D297353CC}">
              <c16:uniqueId val="{00000002-8C9B-4481-AD5C-82D9E56E6969}"/>
            </c:ext>
          </c:extLst>
        </c:ser>
        <c:dLbls>
          <c:showLegendKey val="0"/>
          <c:showVal val="0"/>
          <c:showCatName val="0"/>
          <c:showSerName val="0"/>
          <c:showPercent val="0"/>
          <c:showBubbleSize val="0"/>
        </c:dLbls>
        <c:smooth val="0"/>
        <c:axId val="716165503"/>
        <c:axId val="716166943"/>
        <c:extLst>
          <c:ext xmlns:c15="http://schemas.microsoft.com/office/drawing/2012/chart" uri="{02D57815-91ED-43cb-92C2-25804820EDAC}">
            <c15:filteredLineSeries>
              <c15:ser>
                <c:idx val="0"/>
                <c:order val="0"/>
                <c:tx>
                  <c:strRef>
                    <c:extLst>
                      <c:ext uri="{02D57815-91ED-43cb-92C2-25804820EDAC}">
                        <c15:formulaRef>
                          <c15:sqref>New!$B$27</c15:sqref>
                        </c15:formulaRef>
                      </c:ext>
                    </c:extLst>
                    <c:strCache>
                      <c:ptCount val="1"/>
                      <c:pt idx="0">
                        <c:v>ano_trimestre</c:v>
                      </c:pt>
                    </c:strCache>
                  </c:strRef>
                </c:tx>
                <c:spPr>
                  <a:ln w="28575" cap="rnd">
                    <a:solidFill>
                      <a:schemeClr val="accent1">
                        <a:lumMod val="60000"/>
                        <a:lumOff val="40000"/>
                      </a:schemeClr>
                    </a:solidFill>
                    <a:prstDash val="sysDash"/>
                    <a:round/>
                  </a:ln>
                  <a:effectLst/>
                </c:spPr>
                <c:marker>
                  <c:symbol val="none"/>
                </c:marker>
                <c:cat>
                  <c:numRef>
                    <c:extLst>
                      <c:ext uri="{02D57815-91ED-43cb-92C2-25804820EDAC}">
                        <c15:formulaRef>
                          <c15:sqref>New!$B$28:$B$37</c15:sqref>
                        </c15:formulaRef>
                      </c:ext>
                    </c:extLst>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extLst>
                      <c:ext uri="{02D57815-91ED-43cb-92C2-25804820EDAC}">
                        <c15:formulaRef>
                          <c15:sqref>New!$B$28:$B$37</c15:sqref>
                        </c15:formulaRef>
                      </c:ext>
                    </c:extLst>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val>
                <c:smooth val="0"/>
                <c:extLst>
                  <c:ext xmlns:c16="http://schemas.microsoft.com/office/drawing/2014/chart" uri="{C3380CC4-5D6E-409C-BE32-E72D297353CC}">
                    <c16:uniqueId val="{00000003-8C9B-4481-AD5C-82D9E56E6969}"/>
                  </c:ext>
                </c:extLst>
              </c15:ser>
            </c15:filteredLineSeries>
          </c:ext>
        </c:extLst>
      </c:lineChart>
      <c:catAx>
        <c:axId val="716165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16166943"/>
        <c:crosses val="autoZero"/>
        <c:auto val="1"/>
        <c:lblAlgn val="ctr"/>
        <c:lblOffset val="100"/>
        <c:noMultiLvlLbl val="0"/>
      </c:catAx>
      <c:valAx>
        <c:axId val="716166943"/>
        <c:scaling>
          <c:orientation val="minMax"/>
          <c:min val="350000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16165503"/>
        <c:crosses val="autoZero"/>
        <c:crossBetween val="between"/>
      </c:valAx>
      <c:spPr>
        <a:solidFill>
          <a:schemeClr val="bg1"/>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Informalidad</a:t>
            </a:r>
            <a:r>
              <a:rPr lang="es-CL" baseline="0"/>
              <a:t> previsional por categoría ocupacional (%)</a:t>
            </a:r>
            <a:endParaRPr lang="es-CL"/>
          </a:p>
        </c:rich>
      </c:tx>
      <c:layout>
        <c:manualLayout>
          <c:xMode val="edge"/>
          <c:yMode val="edge"/>
          <c:x val="0.1551164126010359"/>
          <c:y val="3.655192022223851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tx>
            <c:strRef>
              <c:f>'Figura 19'!$W$26</c:f>
              <c:strCache>
                <c:ptCount val="1"/>
                <c:pt idx="0">
                  <c:v>Empleador</c:v>
                </c:pt>
              </c:strCache>
            </c:strRef>
          </c:tx>
          <c:spPr>
            <a:ln w="28575" cap="rnd">
              <a:solidFill>
                <a:schemeClr val="accent1"/>
              </a:solidFill>
              <a:round/>
            </a:ln>
            <a:effectLst/>
          </c:spPr>
          <c:marker>
            <c:symbol val="none"/>
          </c:marker>
          <c:cat>
            <c:numRef>
              <c:f>'Figura 19'!$V$27:$V$36</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 19'!$W$27:$W$36</c:f>
              <c:numCache>
                <c:formatCode>0.0%</c:formatCode>
                <c:ptCount val="10"/>
                <c:pt idx="0">
                  <c:v>0.62122875776967135</c:v>
                </c:pt>
                <c:pt idx="1">
                  <c:v>0.59055237961766682</c:v>
                </c:pt>
                <c:pt idx="2">
                  <c:v>0.6113800054590941</c:v>
                </c:pt>
                <c:pt idx="3">
                  <c:v>0.58791002842227891</c:v>
                </c:pt>
                <c:pt idx="4">
                  <c:v>0.5685127206861551</c:v>
                </c:pt>
                <c:pt idx="5">
                  <c:v>0.59944652551038669</c:v>
                </c:pt>
                <c:pt idx="6">
                  <c:v>0.64710287958581447</c:v>
                </c:pt>
                <c:pt idx="7">
                  <c:v>0.62527753541128195</c:v>
                </c:pt>
                <c:pt idx="8">
                  <c:v>0.55999717977636942</c:v>
                </c:pt>
                <c:pt idx="9">
                  <c:v>0.55632274119662783</c:v>
                </c:pt>
              </c:numCache>
            </c:numRef>
          </c:val>
          <c:smooth val="0"/>
          <c:extLst>
            <c:ext xmlns:c16="http://schemas.microsoft.com/office/drawing/2014/chart" uri="{C3380CC4-5D6E-409C-BE32-E72D297353CC}">
              <c16:uniqueId val="{00000000-20FE-4CB0-9AE2-83A6C5710E08}"/>
            </c:ext>
          </c:extLst>
        </c:ser>
        <c:ser>
          <c:idx val="1"/>
          <c:order val="1"/>
          <c:tx>
            <c:strRef>
              <c:f>'Figura 19'!$X$26</c:f>
              <c:strCache>
                <c:ptCount val="1"/>
                <c:pt idx="0">
                  <c:v>Cuenta propia</c:v>
                </c:pt>
              </c:strCache>
            </c:strRef>
          </c:tx>
          <c:spPr>
            <a:ln w="28575" cap="rnd">
              <a:solidFill>
                <a:schemeClr val="accent2"/>
              </a:solidFill>
              <a:round/>
            </a:ln>
            <a:effectLst/>
          </c:spPr>
          <c:marker>
            <c:symbol val="none"/>
          </c:marker>
          <c:cat>
            <c:numRef>
              <c:f>'Figura 19'!$V$27:$V$36</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 19'!$X$27:$X$36</c:f>
              <c:numCache>
                <c:formatCode>0.0%</c:formatCode>
                <c:ptCount val="10"/>
                <c:pt idx="0">
                  <c:v>0.8905624919667382</c:v>
                </c:pt>
                <c:pt idx="1">
                  <c:v>0.90230472858129029</c:v>
                </c:pt>
                <c:pt idx="2">
                  <c:v>0.88917179343408226</c:v>
                </c:pt>
                <c:pt idx="3">
                  <c:v>0.89522943113883002</c:v>
                </c:pt>
                <c:pt idx="4">
                  <c:v>0.89003675825548045</c:v>
                </c:pt>
                <c:pt idx="5">
                  <c:v>0.88071770886337553</c:v>
                </c:pt>
                <c:pt idx="6">
                  <c:v>0.89010884750534303</c:v>
                </c:pt>
                <c:pt idx="7">
                  <c:v>0.89937709579966818</c:v>
                </c:pt>
                <c:pt idx="8">
                  <c:v>0.89899395589550368</c:v>
                </c:pt>
                <c:pt idx="9">
                  <c:v>0.89012343006643824</c:v>
                </c:pt>
              </c:numCache>
            </c:numRef>
          </c:val>
          <c:smooth val="0"/>
          <c:extLst>
            <c:ext xmlns:c16="http://schemas.microsoft.com/office/drawing/2014/chart" uri="{C3380CC4-5D6E-409C-BE32-E72D297353CC}">
              <c16:uniqueId val="{00000001-20FE-4CB0-9AE2-83A6C5710E08}"/>
            </c:ext>
          </c:extLst>
        </c:ser>
        <c:ser>
          <c:idx val="2"/>
          <c:order val="2"/>
          <c:tx>
            <c:strRef>
              <c:f>'Figura 19'!$Y$26</c:f>
              <c:strCache>
                <c:ptCount val="1"/>
                <c:pt idx="0">
                  <c:v>Asalariado sector privado</c:v>
                </c:pt>
              </c:strCache>
            </c:strRef>
          </c:tx>
          <c:spPr>
            <a:ln w="28575" cap="rnd">
              <a:solidFill>
                <a:schemeClr val="accent3"/>
              </a:solidFill>
              <a:round/>
            </a:ln>
            <a:effectLst/>
          </c:spPr>
          <c:marker>
            <c:symbol val="none"/>
          </c:marker>
          <c:cat>
            <c:numRef>
              <c:f>'Figura 19'!$V$27:$V$36</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 19'!$Y$27:$Y$36</c:f>
              <c:numCache>
                <c:formatCode>0.0%</c:formatCode>
                <c:ptCount val="10"/>
                <c:pt idx="0">
                  <c:v>0.17377760973361961</c:v>
                </c:pt>
                <c:pt idx="1">
                  <c:v>0.17695831591656369</c:v>
                </c:pt>
                <c:pt idx="2">
                  <c:v>0.17652181991511481</c:v>
                </c:pt>
                <c:pt idx="3">
                  <c:v>0.1782985649210154</c:v>
                </c:pt>
                <c:pt idx="4">
                  <c:v>0.1894812429672369</c:v>
                </c:pt>
                <c:pt idx="5">
                  <c:v>0.1779742292412031</c:v>
                </c:pt>
                <c:pt idx="6">
                  <c:v>0.15918169605846219</c:v>
                </c:pt>
                <c:pt idx="7">
                  <c:v>0.13883129255859941</c:v>
                </c:pt>
                <c:pt idx="8">
                  <c:v>0.1248020659724121</c:v>
                </c:pt>
                <c:pt idx="9">
                  <c:v>0.13093279366216889</c:v>
                </c:pt>
              </c:numCache>
            </c:numRef>
          </c:val>
          <c:smooth val="0"/>
          <c:extLst>
            <c:ext xmlns:c16="http://schemas.microsoft.com/office/drawing/2014/chart" uri="{C3380CC4-5D6E-409C-BE32-E72D297353CC}">
              <c16:uniqueId val="{00000002-20FE-4CB0-9AE2-83A6C5710E08}"/>
            </c:ext>
          </c:extLst>
        </c:ser>
        <c:ser>
          <c:idx val="3"/>
          <c:order val="3"/>
          <c:tx>
            <c:strRef>
              <c:f>'Figura 19'!$Z$26</c:f>
              <c:strCache>
                <c:ptCount val="1"/>
                <c:pt idx="0">
                  <c:v>Asalariado sector público</c:v>
                </c:pt>
              </c:strCache>
            </c:strRef>
          </c:tx>
          <c:spPr>
            <a:ln w="28575" cap="rnd">
              <a:solidFill>
                <a:schemeClr val="accent4"/>
              </a:solidFill>
              <a:round/>
            </a:ln>
            <a:effectLst/>
          </c:spPr>
          <c:marker>
            <c:symbol val="none"/>
          </c:marker>
          <c:cat>
            <c:numRef>
              <c:f>'Figura 19'!$V$27:$V$36</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 19'!$Z$27:$Z$36</c:f>
              <c:numCache>
                <c:formatCode>0.0%</c:formatCode>
                <c:ptCount val="10"/>
                <c:pt idx="0">
                  <c:v>9.7640245316600871E-2</c:v>
                </c:pt>
                <c:pt idx="1">
                  <c:v>0.1378512083009239</c:v>
                </c:pt>
                <c:pt idx="2">
                  <c:v>0.1474967690233038</c:v>
                </c:pt>
                <c:pt idx="3">
                  <c:v>0.15592381455794241</c:v>
                </c:pt>
                <c:pt idx="4">
                  <c:v>0.14723912655393581</c:v>
                </c:pt>
                <c:pt idx="5">
                  <c:v>0.1237713318026827</c:v>
                </c:pt>
                <c:pt idx="6">
                  <c:v>4.7704815654777473E-2</c:v>
                </c:pt>
                <c:pt idx="7">
                  <c:v>5.3217605551943097E-2</c:v>
                </c:pt>
                <c:pt idx="8">
                  <c:v>5.0045384333138883E-2</c:v>
                </c:pt>
                <c:pt idx="9">
                  <c:v>4.6146875448987101E-2</c:v>
                </c:pt>
              </c:numCache>
            </c:numRef>
          </c:val>
          <c:smooth val="0"/>
          <c:extLst>
            <c:ext xmlns:c16="http://schemas.microsoft.com/office/drawing/2014/chart" uri="{C3380CC4-5D6E-409C-BE32-E72D297353CC}">
              <c16:uniqueId val="{00000003-20FE-4CB0-9AE2-83A6C5710E08}"/>
            </c:ext>
          </c:extLst>
        </c:ser>
        <c:ser>
          <c:idx val="4"/>
          <c:order val="4"/>
          <c:tx>
            <c:strRef>
              <c:f>'Figura 19'!$AA$26</c:f>
              <c:strCache>
                <c:ptCount val="1"/>
                <c:pt idx="0">
                  <c:v>Servicio doméstico puertas afuera</c:v>
                </c:pt>
              </c:strCache>
            </c:strRef>
          </c:tx>
          <c:spPr>
            <a:ln w="28575" cap="rnd">
              <a:solidFill>
                <a:schemeClr val="accent5"/>
              </a:solidFill>
              <a:round/>
            </a:ln>
            <a:effectLst/>
          </c:spPr>
          <c:marker>
            <c:symbol val="none"/>
          </c:marker>
          <c:cat>
            <c:numRef>
              <c:f>'Figura 19'!$V$27:$V$36</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 19'!$AA$27:$AA$36</c:f>
              <c:numCache>
                <c:formatCode>0.0%</c:formatCode>
                <c:ptCount val="10"/>
                <c:pt idx="0">
                  <c:v>0.59747770617914642</c:v>
                </c:pt>
                <c:pt idx="1">
                  <c:v>0.60930715110634748</c:v>
                </c:pt>
                <c:pt idx="2">
                  <c:v>0.53624144493245185</c:v>
                </c:pt>
                <c:pt idx="3">
                  <c:v>0.50106466609265743</c:v>
                </c:pt>
                <c:pt idx="4">
                  <c:v>0.52450533329579185</c:v>
                </c:pt>
                <c:pt idx="5">
                  <c:v>0.57817216633900936</c:v>
                </c:pt>
                <c:pt idx="6">
                  <c:v>0.53839655106165396</c:v>
                </c:pt>
                <c:pt idx="7">
                  <c:v>0.44280018514458991</c:v>
                </c:pt>
                <c:pt idx="8">
                  <c:v>0.54701115776626719</c:v>
                </c:pt>
                <c:pt idx="9">
                  <c:v>0.55225010088921134</c:v>
                </c:pt>
              </c:numCache>
            </c:numRef>
          </c:val>
          <c:smooth val="0"/>
          <c:extLst>
            <c:ext xmlns:c16="http://schemas.microsoft.com/office/drawing/2014/chart" uri="{C3380CC4-5D6E-409C-BE32-E72D297353CC}">
              <c16:uniqueId val="{00000004-20FE-4CB0-9AE2-83A6C5710E08}"/>
            </c:ext>
          </c:extLst>
        </c:ser>
        <c:ser>
          <c:idx val="5"/>
          <c:order val="5"/>
          <c:tx>
            <c:strRef>
              <c:f>'Figura 19'!$AB$26</c:f>
              <c:strCache>
                <c:ptCount val="1"/>
                <c:pt idx="0">
                  <c:v>Servicio doméstico puertas adentro</c:v>
                </c:pt>
              </c:strCache>
            </c:strRef>
          </c:tx>
          <c:spPr>
            <a:ln w="28575" cap="rnd">
              <a:solidFill>
                <a:schemeClr val="accent6"/>
              </a:solidFill>
              <a:round/>
            </a:ln>
            <a:effectLst/>
          </c:spPr>
          <c:marker>
            <c:symbol val="none"/>
          </c:marker>
          <c:cat>
            <c:numRef>
              <c:f>'Figura 19'!$V$27:$V$36</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 19'!$AB$27:$AB$36</c:f>
              <c:numCache>
                <c:formatCode>0.0%</c:formatCode>
                <c:ptCount val="10"/>
                <c:pt idx="0">
                  <c:v>0.12444473684244541</c:v>
                </c:pt>
                <c:pt idx="1">
                  <c:v>0.1589009793237153</c:v>
                </c:pt>
                <c:pt idx="2">
                  <c:v>0.14390966265059801</c:v>
                </c:pt>
                <c:pt idx="3">
                  <c:v>0.14123028778762489</c:v>
                </c:pt>
                <c:pt idx="4">
                  <c:v>0.19705361507885619</c:v>
                </c:pt>
                <c:pt idx="5">
                  <c:v>0.19610148900944879</c:v>
                </c:pt>
                <c:pt idx="6">
                  <c:v>0.13843357012788909</c:v>
                </c:pt>
                <c:pt idx="7">
                  <c:v>0.25402953350616131</c:v>
                </c:pt>
                <c:pt idx="8">
                  <c:v>0.21799858411786621</c:v>
                </c:pt>
                <c:pt idx="9">
                  <c:v>0.13175846471567471</c:v>
                </c:pt>
              </c:numCache>
            </c:numRef>
          </c:val>
          <c:smooth val="0"/>
          <c:extLst>
            <c:ext xmlns:c16="http://schemas.microsoft.com/office/drawing/2014/chart" uri="{C3380CC4-5D6E-409C-BE32-E72D297353CC}">
              <c16:uniqueId val="{00000005-20FE-4CB0-9AE2-83A6C5710E08}"/>
            </c:ext>
          </c:extLst>
        </c:ser>
        <c:ser>
          <c:idx val="6"/>
          <c:order val="6"/>
          <c:tx>
            <c:strRef>
              <c:f>'Figura 19'!$AC$26</c:f>
              <c:strCache>
                <c:ptCount val="1"/>
                <c:pt idx="0">
                  <c:v>Total</c:v>
                </c:pt>
              </c:strCache>
            </c:strRef>
          </c:tx>
          <c:spPr>
            <a:ln w="28575" cap="rnd">
              <a:solidFill>
                <a:schemeClr val="accent1">
                  <a:lumMod val="60000"/>
                </a:schemeClr>
              </a:solidFill>
              <a:round/>
            </a:ln>
            <a:effectLst/>
          </c:spPr>
          <c:marker>
            <c:symbol val="none"/>
          </c:marker>
          <c:cat>
            <c:numRef>
              <c:f>'Figura 19'!$V$27:$V$36</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 19'!$AC$27:$AC$36</c:f>
              <c:numCache>
                <c:formatCode>0.0%</c:formatCode>
                <c:ptCount val="10"/>
                <c:pt idx="0">
                  <c:v>0.34300880695164915</c:v>
                </c:pt>
                <c:pt idx="1">
                  <c:v>0.35431474039339128</c:v>
                </c:pt>
                <c:pt idx="2">
                  <c:v>0.35149331159797947</c:v>
                </c:pt>
                <c:pt idx="3">
                  <c:v>0.35825097043634513</c:v>
                </c:pt>
                <c:pt idx="4">
                  <c:v>0.36405907132617499</c:v>
                </c:pt>
                <c:pt idx="5">
                  <c:v>0.35462590390339799</c:v>
                </c:pt>
                <c:pt idx="6">
                  <c:v>0.33226901916397411</c:v>
                </c:pt>
                <c:pt idx="7">
                  <c:v>0.3042159536065463</c:v>
                </c:pt>
                <c:pt idx="8">
                  <c:v>0.31217403954660261</c:v>
                </c:pt>
                <c:pt idx="9">
                  <c:v>0.30336714205214377</c:v>
                </c:pt>
              </c:numCache>
            </c:numRef>
          </c:val>
          <c:smooth val="0"/>
          <c:extLst>
            <c:ext xmlns:c16="http://schemas.microsoft.com/office/drawing/2014/chart" uri="{C3380CC4-5D6E-409C-BE32-E72D297353CC}">
              <c16:uniqueId val="{00000006-20FE-4CB0-9AE2-83A6C5710E08}"/>
            </c:ext>
          </c:extLst>
        </c:ser>
        <c:dLbls>
          <c:showLegendKey val="0"/>
          <c:showVal val="0"/>
          <c:showCatName val="0"/>
          <c:showSerName val="0"/>
          <c:showPercent val="0"/>
          <c:showBubbleSize val="0"/>
        </c:dLbls>
        <c:smooth val="0"/>
        <c:axId val="417152352"/>
        <c:axId val="417149472"/>
      </c:lineChart>
      <c:catAx>
        <c:axId val="41715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417149472"/>
        <c:crosses val="autoZero"/>
        <c:auto val="1"/>
        <c:lblAlgn val="ctr"/>
        <c:lblOffset val="100"/>
        <c:noMultiLvlLbl val="0"/>
      </c:catAx>
      <c:valAx>
        <c:axId val="41714947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4171523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Informalidad previsional por categoría ocupacional (%</a:t>
            </a:r>
            <a:r>
              <a:rPr lang="es-CL"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barChart>
        <c:barDir val="col"/>
        <c:grouping val="clustered"/>
        <c:varyColors val="0"/>
        <c:ser>
          <c:idx val="0"/>
          <c:order val="0"/>
          <c:tx>
            <c:strRef>
              <c:f>'Figura 19'!$V$27</c:f>
              <c:strCache>
                <c:ptCount val="1"/>
                <c:pt idx="0">
                  <c:v>2013</c:v>
                </c:pt>
              </c:strCache>
            </c:strRef>
          </c:tx>
          <c:spPr>
            <a:solidFill>
              <a:schemeClr val="accent1"/>
            </a:solidFill>
            <a:ln>
              <a:noFill/>
            </a:ln>
            <a:effectLst/>
          </c:spPr>
          <c:invertIfNegative val="0"/>
          <c:cat>
            <c:strRef>
              <c:f>'Figura 19'!$W$26:$AC$26</c:f>
              <c:strCache>
                <c:ptCount val="7"/>
                <c:pt idx="0">
                  <c:v>Empleador</c:v>
                </c:pt>
                <c:pt idx="1">
                  <c:v>Cuenta propia</c:v>
                </c:pt>
                <c:pt idx="2">
                  <c:v>Asalariado sector privado</c:v>
                </c:pt>
                <c:pt idx="3">
                  <c:v>Asalariado sector público</c:v>
                </c:pt>
                <c:pt idx="4">
                  <c:v>Servicio doméstico puertas afuera</c:v>
                </c:pt>
                <c:pt idx="5">
                  <c:v>Servicio doméstico puertas adentro</c:v>
                </c:pt>
                <c:pt idx="6">
                  <c:v>Total</c:v>
                </c:pt>
              </c:strCache>
            </c:strRef>
          </c:cat>
          <c:val>
            <c:numRef>
              <c:f>'Figura 19'!$W$27:$AC$27</c:f>
              <c:numCache>
                <c:formatCode>0.0%</c:formatCode>
                <c:ptCount val="7"/>
                <c:pt idx="0">
                  <c:v>0.62122875776967135</c:v>
                </c:pt>
                <c:pt idx="1">
                  <c:v>0.8905624919667382</c:v>
                </c:pt>
                <c:pt idx="2">
                  <c:v>0.17377760973361961</c:v>
                </c:pt>
                <c:pt idx="3">
                  <c:v>9.7640245316600871E-2</c:v>
                </c:pt>
                <c:pt idx="4">
                  <c:v>0.59747770617914642</c:v>
                </c:pt>
                <c:pt idx="5">
                  <c:v>0.12444473684244541</c:v>
                </c:pt>
                <c:pt idx="6">
                  <c:v>0.34300880695164915</c:v>
                </c:pt>
              </c:numCache>
            </c:numRef>
          </c:val>
          <c:extLst>
            <c:ext xmlns:c16="http://schemas.microsoft.com/office/drawing/2014/chart" uri="{C3380CC4-5D6E-409C-BE32-E72D297353CC}">
              <c16:uniqueId val="{00000000-8DB2-471B-9AAB-038F32D5B966}"/>
            </c:ext>
          </c:extLst>
        </c:ser>
        <c:ser>
          <c:idx val="1"/>
          <c:order val="1"/>
          <c:tx>
            <c:strRef>
              <c:f>'Figura 19'!$V$36</c:f>
              <c:strCache>
                <c:ptCount val="1"/>
                <c:pt idx="0">
                  <c:v>2022</c:v>
                </c:pt>
              </c:strCache>
            </c:strRef>
          </c:tx>
          <c:spPr>
            <a:solidFill>
              <a:schemeClr val="accent2"/>
            </a:solidFill>
            <a:ln>
              <a:noFill/>
            </a:ln>
            <a:effectLst/>
          </c:spPr>
          <c:invertIfNegative val="0"/>
          <c:cat>
            <c:strRef>
              <c:f>'Figura 19'!$W$26:$AC$26</c:f>
              <c:strCache>
                <c:ptCount val="7"/>
                <c:pt idx="0">
                  <c:v>Empleador</c:v>
                </c:pt>
                <c:pt idx="1">
                  <c:v>Cuenta propia</c:v>
                </c:pt>
                <c:pt idx="2">
                  <c:v>Asalariado sector privado</c:v>
                </c:pt>
                <c:pt idx="3">
                  <c:v>Asalariado sector público</c:v>
                </c:pt>
                <c:pt idx="4">
                  <c:v>Servicio doméstico puertas afuera</c:v>
                </c:pt>
                <c:pt idx="5">
                  <c:v>Servicio doméstico puertas adentro</c:v>
                </c:pt>
                <c:pt idx="6">
                  <c:v>Total</c:v>
                </c:pt>
              </c:strCache>
            </c:strRef>
          </c:cat>
          <c:val>
            <c:numRef>
              <c:f>'Figura 19'!$W$36:$AC$36</c:f>
              <c:numCache>
                <c:formatCode>0.0%</c:formatCode>
                <c:ptCount val="7"/>
                <c:pt idx="0">
                  <c:v>0.55632274119662783</c:v>
                </c:pt>
                <c:pt idx="1">
                  <c:v>0.89012343006643824</c:v>
                </c:pt>
                <c:pt idx="2">
                  <c:v>0.13093279366216889</c:v>
                </c:pt>
                <c:pt idx="3">
                  <c:v>4.6146875448987101E-2</c:v>
                </c:pt>
                <c:pt idx="4">
                  <c:v>0.55225010088921134</c:v>
                </c:pt>
                <c:pt idx="5">
                  <c:v>0.13175846471567471</c:v>
                </c:pt>
                <c:pt idx="6">
                  <c:v>0.30336714205214377</c:v>
                </c:pt>
              </c:numCache>
            </c:numRef>
          </c:val>
          <c:extLst>
            <c:ext xmlns:c16="http://schemas.microsoft.com/office/drawing/2014/chart" uri="{C3380CC4-5D6E-409C-BE32-E72D297353CC}">
              <c16:uniqueId val="{00000001-8DB2-471B-9AAB-038F32D5B966}"/>
            </c:ext>
          </c:extLst>
        </c:ser>
        <c:dLbls>
          <c:showLegendKey val="0"/>
          <c:showVal val="0"/>
          <c:showCatName val="0"/>
          <c:showSerName val="0"/>
          <c:showPercent val="0"/>
          <c:showBubbleSize val="0"/>
        </c:dLbls>
        <c:gapWidth val="219"/>
        <c:overlap val="-27"/>
        <c:axId val="575668032"/>
        <c:axId val="575653632"/>
      </c:barChart>
      <c:catAx>
        <c:axId val="575668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575653632"/>
        <c:crosses val="autoZero"/>
        <c:auto val="1"/>
        <c:lblAlgn val="ctr"/>
        <c:lblOffset val="100"/>
        <c:noMultiLvlLbl val="0"/>
      </c:catAx>
      <c:valAx>
        <c:axId val="57565363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575668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Nro</a:t>
            </a:r>
            <a:r>
              <a:rPr lang="es-CL" baseline="0"/>
              <a:t> de</a:t>
            </a:r>
            <a:r>
              <a:rPr lang="es-CL"/>
              <a:t> cotizantes por categoría</a:t>
            </a:r>
            <a:r>
              <a:rPr lang="es-CL" baseline="0"/>
              <a:t> ocupacional (N)</a:t>
            </a:r>
            <a:endParaRPr lang="es-C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barChart>
        <c:barDir val="col"/>
        <c:grouping val="clustered"/>
        <c:varyColors val="0"/>
        <c:ser>
          <c:idx val="0"/>
          <c:order val="0"/>
          <c:tx>
            <c:strRef>
              <c:f>'Figura 19'!$V$40</c:f>
              <c:strCache>
                <c:ptCount val="1"/>
                <c:pt idx="0">
                  <c:v>2013</c:v>
                </c:pt>
              </c:strCache>
            </c:strRef>
          </c:tx>
          <c:spPr>
            <a:solidFill>
              <a:schemeClr val="accent1"/>
            </a:solidFill>
            <a:ln>
              <a:noFill/>
            </a:ln>
            <a:effectLst/>
          </c:spPr>
          <c:invertIfNegative val="0"/>
          <c:cat>
            <c:strRef>
              <c:f>'Figura 19'!$W$39:$AC$39</c:f>
              <c:strCache>
                <c:ptCount val="7"/>
                <c:pt idx="0">
                  <c:v>Empleador</c:v>
                </c:pt>
                <c:pt idx="1">
                  <c:v>Cuenta propia</c:v>
                </c:pt>
                <c:pt idx="2">
                  <c:v>Asalariado sector privado</c:v>
                </c:pt>
                <c:pt idx="3">
                  <c:v>Asalariado sector público</c:v>
                </c:pt>
                <c:pt idx="4">
                  <c:v>Servicio doméstico puertas afuera</c:v>
                </c:pt>
                <c:pt idx="5">
                  <c:v>Servicio doméstico puertas adentro</c:v>
                </c:pt>
                <c:pt idx="6">
                  <c:v>Familiar no remunerado</c:v>
                </c:pt>
              </c:strCache>
            </c:strRef>
          </c:cat>
          <c:val>
            <c:numRef>
              <c:f>'Figura 19'!$W$40:$AC$40</c:f>
              <c:numCache>
                <c:formatCode>_(* #,##0_);_(* \(#,##0\);_(* "-"_);_(@_)</c:formatCode>
                <c:ptCount val="7"/>
                <c:pt idx="0">
                  <c:v>219785.79000012041</c:v>
                </c:pt>
                <c:pt idx="1">
                  <c:v>1371246.9529965997</c:v>
                </c:pt>
                <c:pt idx="2">
                  <c:v>859685.35657306481</c:v>
                </c:pt>
                <c:pt idx="3">
                  <c:v>89084.150623871363</c:v>
                </c:pt>
                <c:pt idx="4">
                  <c:v>151220.70813349931</c:v>
                </c:pt>
                <c:pt idx="5">
                  <c:v>7381.3787338124603</c:v>
                </c:pt>
                <c:pt idx="6">
                  <c:v>103638.74808526591</c:v>
                </c:pt>
              </c:numCache>
            </c:numRef>
          </c:val>
          <c:extLst>
            <c:ext xmlns:c16="http://schemas.microsoft.com/office/drawing/2014/chart" uri="{C3380CC4-5D6E-409C-BE32-E72D297353CC}">
              <c16:uniqueId val="{00000000-FAB4-4A4A-A1B9-4E83CC34E772}"/>
            </c:ext>
          </c:extLst>
        </c:ser>
        <c:ser>
          <c:idx val="1"/>
          <c:order val="1"/>
          <c:tx>
            <c:strRef>
              <c:f>'Figura 19'!$V$49</c:f>
              <c:strCache>
                <c:ptCount val="1"/>
                <c:pt idx="0">
                  <c:v>2022</c:v>
                </c:pt>
              </c:strCache>
            </c:strRef>
          </c:tx>
          <c:spPr>
            <a:solidFill>
              <a:schemeClr val="accent2"/>
            </a:solidFill>
            <a:ln>
              <a:noFill/>
            </a:ln>
            <a:effectLst/>
          </c:spPr>
          <c:invertIfNegative val="0"/>
          <c:cat>
            <c:strRef>
              <c:f>'Figura 19'!$W$39:$AC$39</c:f>
              <c:strCache>
                <c:ptCount val="7"/>
                <c:pt idx="0">
                  <c:v>Empleador</c:v>
                </c:pt>
                <c:pt idx="1">
                  <c:v>Cuenta propia</c:v>
                </c:pt>
                <c:pt idx="2">
                  <c:v>Asalariado sector privado</c:v>
                </c:pt>
                <c:pt idx="3">
                  <c:v>Asalariado sector público</c:v>
                </c:pt>
                <c:pt idx="4">
                  <c:v>Servicio doméstico puertas afuera</c:v>
                </c:pt>
                <c:pt idx="5">
                  <c:v>Servicio doméstico puertas adentro</c:v>
                </c:pt>
                <c:pt idx="6">
                  <c:v>Familiar no remunerado</c:v>
                </c:pt>
              </c:strCache>
            </c:strRef>
          </c:cat>
          <c:val>
            <c:numRef>
              <c:f>'Figura 19'!$W$49:$AC$49</c:f>
              <c:numCache>
                <c:formatCode>_(* #,##0_);_(* \(#,##0\);_(* "-"_);_(@_)</c:formatCode>
                <c:ptCount val="7"/>
                <c:pt idx="0">
                  <c:v>160069.38638002682</c:v>
                </c:pt>
                <c:pt idx="1">
                  <c:v>1609530.9409146449</c:v>
                </c:pt>
                <c:pt idx="2">
                  <c:v>714648.49906335119</c:v>
                </c:pt>
                <c:pt idx="3">
                  <c:v>52343.525591640035</c:v>
                </c:pt>
                <c:pt idx="4">
                  <c:v>122612.11937088134</c:v>
                </c:pt>
                <c:pt idx="5">
                  <c:v>2370.1128076790119</c:v>
                </c:pt>
                <c:pt idx="6">
                  <c:v>67463.586012399595</c:v>
                </c:pt>
              </c:numCache>
            </c:numRef>
          </c:val>
          <c:extLst>
            <c:ext xmlns:c16="http://schemas.microsoft.com/office/drawing/2014/chart" uri="{C3380CC4-5D6E-409C-BE32-E72D297353CC}">
              <c16:uniqueId val="{00000001-FAB4-4A4A-A1B9-4E83CC34E772}"/>
            </c:ext>
          </c:extLst>
        </c:ser>
        <c:dLbls>
          <c:showLegendKey val="0"/>
          <c:showVal val="0"/>
          <c:showCatName val="0"/>
          <c:showSerName val="0"/>
          <c:showPercent val="0"/>
          <c:showBubbleSize val="0"/>
        </c:dLbls>
        <c:gapWidth val="219"/>
        <c:overlap val="-27"/>
        <c:axId val="575708832"/>
        <c:axId val="575679072"/>
      </c:barChart>
      <c:catAx>
        <c:axId val="57570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575679072"/>
        <c:crosses val="autoZero"/>
        <c:auto val="1"/>
        <c:lblAlgn val="ctr"/>
        <c:lblOffset val="100"/>
        <c:noMultiLvlLbl val="0"/>
      </c:catAx>
      <c:valAx>
        <c:axId val="57567907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575708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Informalidad</a:t>
            </a:r>
            <a:r>
              <a:rPr lang="es-CL" baseline="0"/>
              <a:t> previsional por nivel educacional (%)</a:t>
            </a:r>
            <a:endParaRPr lang="es-C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1"/>
          <c:order val="1"/>
          <c:tx>
            <c:strRef>
              <c:f>'Figura 20'!$V$26</c:f>
              <c:strCache>
                <c:ptCount val="1"/>
                <c:pt idx="0">
                  <c:v>Nunca estudió</c:v>
                </c:pt>
              </c:strCache>
            </c:strRef>
          </c:tx>
          <c:spPr>
            <a:ln w="28575" cap="rnd">
              <a:solidFill>
                <a:schemeClr val="accent2"/>
              </a:solidFill>
              <a:round/>
            </a:ln>
            <a:effectLst/>
          </c:spPr>
          <c:marker>
            <c:symbol val="none"/>
          </c:marker>
          <c:val>
            <c:numRef>
              <c:f>'Figura 20'!$V$27:$V$36</c:f>
              <c:numCache>
                <c:formatCode>0.0%</c:formatCode>
                <c:ptCount val="10"/>
                <c:pt idx="0">
                  <c:v>0.68702937747183901</c:v>
                </c:pt>
                <c:pt idx="1">
                  <c:v>0.66377973159169956</c:v>
                </c:pt>
                <c:pt idx="2">
                  <c:v>0.72633597418072759</c:v>
                </c:pt>
                <c:pt idx="3">
                  <c:v>0.70317832196497743</c:v>
                </c:pt>
                <c:pt idx="4">
                  <c:v>0.72264491768111117</c:v>
                </c:pt>
                <c:pt idx="5">
                  <c:v>0.72367724805441958</c:v>
                </c:pt>
                <c:pt idx="6">
                  <c:v>0.67739854997755589</c:v>
                </c:pt>
                <c:pt idx="7">
                  <c:v>0.7212427781768026</c:v>
                </c:pt>
                <c:pt idx="8">
                  <c:v>0.71059339247493414</c:v>
                </c:pt>
                <c:pt idx="9">
                  <c:v>0.70940850743833972</c:v>
                </c:pt>
              </c:numCache>
            </c:numRef>
          </c:val>
          <c:smooth val="0"/>
          <c:extLst xmlns:c15="http://schemas.microsoft.com/office/drawing/2012/chart">
            <c:ext xmlns:c16="http://schemas.microsoft.com/office/drawing/2014/chart" uri="{C3380CC4-5D6E-409C-BE32-E72D297353CC}">
              <c16:uniqueId val="{00000008-107C-4BF4-A79D-CCEB473ECF16}"/>
            </c:ext>
          </c:extLst>
        </c:ser>
        <c:ser>
          <c:idx val="3"/>
          <c:order val="3"/>
          <c:tx>
            <c:strRef>
              <c:f>'Figura 20'!$X$26</c:f>
              <c:strCache>
                <c:ptCount val="1"/>
                <c:pt idx="0">
                  <c:v>Educación primaria (nivel 1)</c:v>
                </c:pt>
              </c:strCache>
            </c:strRef>
          </c:tx>
          <c:spPr>
            <a:ln w="28575" cap="rnd">
              <a:solidFill>
                <a:schemeClr val="accent4"/>
              </a:solidFill>
              <a:round/>
            </a:ln>
            <a:effectLst/>
          </c:spPr>
          <c:marker>
            <c:symbol val="none"/>
          </c:marker>
          <c:val>
            <c:numRef>
              <c:f>'Figura 20'!$X$27:$X$36</c:f>
            </c:numRef>
          </c:val>
          <c:smooth val="0"/>
          <c:extLst>
            <c:ext xmlns:c16="http://schemas.microsoft.com/office/drawing/2014/chart" uri="{C3380CC4-5D6E-409C-BE32-E72D297353CC}">
              <c16:uniqueId val="{00000002-107C-4BF4-A79D-CCEB473ECF16}"/>
            </c:ext>
          </c:extLst>
        </c:ser>
        <c:ser>
          <c:idx val="4"/>
          <c:order val="4"/>
          <c:tx>
            <c:strRef>
              <c:f>'Figura 20'!$Y$26</c:f>
              <c:strCache>
                <c:ptCount val="1"/>
                <c:pt idx="0">
                  <c:v>Educación primaria (nivel 2)</c:v>
                </c:pt>
              </c:strCache>
            </c:strRef>
          </c:tx>
          <c:spPr>
            <a:ln w="28575" cap="rnd">
              <a:solidFill>
                <a:schemeClr val="accent5"/>
              </a:solidFill>
              <a:round/>
            </a:ln>
            <a:effectLst/>
          </c:spPr>
          <c:marker>
            <c:symbol val="none"/>
          </c:marker>
          <c:val>
            <c:numRef>
              <c:f>'Figura 20'!$Y$27:$Y$36</c:f>
            </c:numRef>
          </c:val>
          <c:smooth val="0"/>
          <c:extLst>
            <c:ext xmlns:c16="http://schemas.microsoft.com/office/drawing/2014/chart" uri="{C3380CC4-5D6E-409C-BE32-E72D297353CC}">
              <c16:uniqueId val="{00000003-107C-4BF4-A79D-CCEB473ECF16}"/>
            </c:ext>
          </c:extLst>
        </c:ser>
        <c:ser>
          <c:idx val="5"/>
          <c:order val="5"/>
          <c:tx>
            <c:strRef>
              <c:f>'Figura 20'!$Z$26</c:f>
              <c:strCache>
                <c:ptCount val="1"/>
                <c:pt idx="0">
                  <c:v>Educación primaria</c:v>
                </c:pt>
              </c:strCache>
            </c:strRef>
          </c:tx>
          <c:spPr>
            <a:ln w="28575" cap="rnd">
              <a:solidFill>
                <a:schemeClr val="accent6"/>
              </a:solidFill>
              <a:round/>
            </a:ln>
            <a:effectLst/>
          </c:spPr>
          <c:marker>
            <c:symbol val="none"/>
          </c:marker>
          <c:val>
            <c:numRef>
              <c:f>'Figura 20'!$Z$27:$Z$36</c:f>
              <c:numCache>
                <c:formatCode>0.0%</c:formatCode>
                <c:ptCount val="10"/>
                <c:pt idx="0">
                  <c:v>0.54195434476874194</c:v>
                </c:pt>
                <c:pt idx="1">
                  <c:v>0.55071097936420554</c:v>
                </c:pt>
                <c:pt idx="2">
                  <c:v>0.5543768439854313</c:v>
                </c:pt>
                <c:pt idx="3">
                  <c:v>0.56695215535437882</c:v>
                </c:pt>
                <c:pt idx="4">
                  <c:v>0.57397483138788585</c:v>
                </c:pt>
                <c:pt idx="5">
                  <c:v>0.57653184481256159</c:v>
                </c:pt>
                <c:pt idx="6">
                  <c:v>0.55980976784633973</c:v>
                </c:pt>
                <c:pt idx="7">
                  <c:v>0.52565836273056343</c:v>
                </c:pt>
                <c:pt idx="8">
                  <c:v>0.55352113677538362</c:v>
                </c:pt>
                <c:pt idx="9">
                  <c:v>0.55594311822690456</c:v>
                </c:pt>
              </c:numCache>
            </c:numRef>
          </c:val>
          <c:smooth val="0"/>
          <c:extLst>
            <c:ext xmlns:c16="http://schemas.microsoft.com/office/drawing/2014/chart" uri="{C3380CC4-5D6E-409C-BE32-E72D297353CC}">
              <c16:uniqueId val="{00000004-107C-4BF4-A79D-CCEB473ECF16}"/>
            </c:ext>
          </c:extLst>
        </c:ser>
        <c:ser>
          <c:idx val="6"/>
          <c:order val="6"/>
          <c:tx>
            <c:strRef>
              <c:f>'Figura 20'!$AA$26</c:f>
              <c:strCache>
                <c:ptCount val="1"/>
                <c:pt idx="0">
                  <c:v>Educación secundaria</c:v>
                </c:pt>
              </c:strCache>
            </c:strRef>
          </c:tx>
          <c:spPr>
            <a:ln w="28575" cap="rnd">
              <a:solidFill>
                <a:schemeClr val="accent1">
                  <a:lumMod val="60000"/>
                </a:schemeClr>
              </a:solidFill>
              <a:round/>
            </a:ln>
            <a:effectLst/>
          </c:spPr>
          <c:marker>
            <c:symbol val="none"/>
          </c:marker>
          <c:val>
            <c:numRef>
              <c:f>'Figura 20'!$AA$27:$AA$36</c:f>
              <c:numCache>
                <c:formatCode>0.0%</c:formatCode>
                <c:ptCount val="10"/>
                <c:pt idx="0">
                  <c:v>0.34266318177791039</c:v>
                </c:pt>
                <c:pt idx="1">
                  <c:v>0.34689291943469508</c:v>
                </c:pt>
                <c:pt idx="2">
                  <c:v>0.34309970236752779</c:v>
                </c:pt>
                <c:pt idx="3">
                  <c:v>0.35081402061545219</c:v>
                </c:pt>
                <c:pt idx="4">
                  <c:v>0.3761428204298487</c:v>
                </c:pt>
                <c:pt idx="5">
                  <c:v>0.36569266537587403</c:v>
                </c:pt>
                <c:pt idx="6">
                  <c:v>0.36569539260235889</c:v>
                </c:pt>
                <c:pt idx="7">
                  <c:v>0.34910288908099679</c:v>
                </c:pt>
                <c:pt idx="8">
                  <c:v>0.36523756141927688</c:v>
                </c:pt>
                <c:pt idx="9">
                  <c:v>0.3588235271293585</c:v>
                </c:pt>
              </c:numCache>
            </c:numRef>
          </c:val>
          <c:smooth val="0"/>
          <c:extLst>
            <c:ext xmlns:c16="http://schemas.microsoft.com/office/drawing/2014/chart" uri="{C3380CC4-5D6E-409C-BE32-E72D297353CC}">
              <c16:uniqueId val="{00000005-107C-4BF4-A79D-CCEB473ECF16}"/>
            </c:ext>
          </c:extLst>
        </c:ser>
        <c:ser>
          <c:idx val="7"/>
          <c:order val="7"/>
          <c:tx>
            <c:strRef>
              <c:f>'Figura 20'!$AB$26</c:f>
              <c:strCache>
                <c:ptCount val="1"/>
                <c:pt idx="0">
                  <c:v>Educación Técnica (Educación Superior no Universitaria)</c:v>
                </c:pt>
              </c:strCache>
            </c:strRef>
          </c:tx>
          <c:spPr>
            <a:ln w="28575" cap="rnd">
              <a:solidFill>
                <a:schemeClr val="accent2">
                  <a:lumMod val="60000"/>
                </a:schemeClr>
              </a:solidFill>
              <a:round/>
            </a:ln>
            <a:effectLst/>
          </c:spPr>
          <c:marker>
            <c:symbol val="none"/>
          </c:marker>
          <c:val>
            <c:numRef>
              <c:f>'Figura 20'!$AB$27:$AB$36</c:f>
              <c:numCache>
                <c:formatCode>0.0%</c:formatCode>
                <c:ptCount val="10"/>
                <c:pt idx="0">
                  <c:v>0.22918974325492569</c:v>
                </c:pt>
                <c:pt idx="1">
                  <c:v>0.26540292884886368</c:v>
                </c:pt>
                <c:pt idx="2">
                  <c:v>0.26480503642621572</c:v>
                </c:pt>
                <c:pt idx="3">
                  <c:v>0.27028512789081771</c:v>
                </c:pt>
                <c:pt idx="4">
                  <c:v>0.26485384889415431</c:v>
                </c:pt>
                <c:pt idx="5">
                  <c:v>0.24879702895313499</c:v>
                </c:pt>
                <c:pt idx="6">
                  <c:v>0.25476799730018712</c:v>
                </c:pt>
                <c:pt idx="7">
                  <c:v>0.22313165977992591</c:v>
                </c:pt>
                <c:pt idx="8">
                  <c:v>0.22386966047418591</c:v>
                </c:pt>
                <c:pt idx="9">
                  <c:v>0.21304451948310499</c:v>
                </c:pt>
              </c:numCache>
            </c:numRef>
          </c:val>
          <c:smooth val="0"/>
          <c:extLst>
            <c:ext xmlns:c16="http://schemas.microsoft.com/office/drawing/2014/chart" uri="{C3380CC4-5D6E-409C-BE32-E72D297353CC}">
              <c16:uniqueId val="{00000006-107C-4BF4-A79D-CCEB473ECF16}"/>
            </c:ext>
          </c:extLst>
        </c:ser>
        <c:ser>
          <c:idx val="8"/>
          <c:order val="8"/>
          <c:tx>
            <c:strRef>
              <c:f>'Figura 20'!$AC$26</c:f>
              <c:strCache>
                <c:ptCount val="1"/>
                <c:pt idx="0">
                  <c:v>Educación universitaria</c:v>
                </c:pt>
              </c:strCache>
            </c:strRef>
          </c:tx>
          <c:spPr>
            <a:ln w="28575" cap="rnd">
              <a:solidFill>
                <a:schemeClr val="accent3">
                  <a:lumMod val="60000"/>
                </a:schemeClr>
              </a:solidFill>
              <a:round/>
            </a:ln>
            <a:effectLst/>
          </c:spPr>
          <c:marker>
            <c:symbol val="none"/>
          </c:marker>
          <c:val>
            <c:numRef>
              <c:f>'Figura 20'!$AC$27:$AC$36</c:f>
              <c:numCache>
                <c:formatCode>0.0%</c:formatCode>
                <c:ptCount val="10"/>
                <c:pt idx="0">
                  <c:v>0.2323590206164132</c:v>
                </c:pt>
                <c:pt idx="1">
                  <c:v>0.25775217064205791</c:v>
                </c:pt>
                <c:pt idx="2">
                  <c:v>0.2550512542615383</c:v>
                </c:pt>
                <c:pt idx="3">
                  <c:v>0.25675029645610159</c:v>
                </c:pt>
                <c:pt idx="4">
                  <c:v>0.25460236589915158</c:v>
                </c:pt>
                <c:pt idx="5">
                  <c:v>0.25719906351762939</c:v>
                </c:pt>
                <c:pt idx="6">
                  <c:v>0.20241215845213231</c:v>
                </c:pt>
                <c:pt idx="7">
                  <c:v>0.19456344562903249</c:v>
                </c:pt>
                <c:pt idx="8">
                  <c:v>0.18239275070365299</c:v>
                </c:pt>
                <c:pt idx="9">
                  <c:v>0.1782949667404061</c:v>
                </c:pt>
              </c:numCache>
            </c:numRef>
          </c:val>
          <c:smooth val="0"/>
          <c:extLst>
            <c:ext xmlns:c16="http://schemas.microsoft.com/office/drawing/2014/chart" uri="{C3380CC4-5D6E-409C-BE32-E72D297353CC}">
              <c16:uniqueId val="{00000007-107C-4BF4-A79D-CCEB473ECF16}"/>
            </c:ext>
          </c:extLst>
        </c:ser>
        <c:ser>
          <c:idx val="9"/>
          <c:order val="9"/>
          <c:tx>
            <c:strRef>
              <c:f>'Figura 20'!$AD$26</c:f>
              <c:strCache>
                <c:ptCount val="1"/>
                <c:pt idx="0">
                  <c:v>Post títulos y maestría</c:v>
                </c:pt>
              </c:strCache>
            </c:strRef>
          </c:tx>
          <c:spPr>
            <a:ln w="28575" cap="rnd">
              <a:solidFill>
                <a:schemeClr val="accent4">
                  <a:lumMod val="60000"/>
                </a:schemeClr>
              </a:solidFill>
              <a:round/>
            </a:ln>
            <a:effectLst/>
          </c:spPr>
          <c:marker>
            <c:symbol val="none"/>
          </c:marker>
          <c:val>
            <c:numRef>
              <c:f>'Figura 20'!$AD$27:$AD$36</c:f>
              <c:numCache>
                <c:formatCode>0.0%</c:formatCode>
                <c:ptCount val="10"/>
                <c:pt idx="0">
                  <c:v>0.17993862365985061</c:v>
                </c:pt>
                <c:pt idx="1">
                  <c:v>0.16040347115442269</c:v>
                </c:pt>
                <c:pt idx="2">
                  <c:v>0.1976955556632303</c:v>
                </c:pt>
                <c:pt idx="3">
                  <c:v>0.19580600702713541</c:v>
                </c:pt>
                <c:pt idx="4">
                  <c:v>0.23720760698036369</c:v>
                </c:pt>
                <c:pt idx="5">
                  <c:v>0.1757386225109682</c:v>
                </c:pt>
                <c:pt idx="6">
                  <c:v>0.12889956856168269</c:v>
                </c:pt>
                <c:pt idx="7">
                  <c:v>0.1360475923959639</c:v>
                </c:pt>
                <c:pt idx="8">
                  <c:v>8.0659592814153913E-2</c:v>
                </c:pt>
                <c:pt idx="9">
                  <c:v>6.8914365317919168E-2</c:v>
                </c:pt>
              </c:numCache>
            </c:numRef>
          </c:val>
          <c:smooth val="0"/>
          <c:extLst xmlns:c15="http://schemas.microsoft.com/office/drawing/2012/chart">
            <c:ext xmlns:c16="http://schemas.microsoft.com/office/drawing/2014/chart" uri="{C3380CC4-5D6E-409C-BE32-E72D297353CC}">
              <c16:uniqueId val="{00000009-107C-4BF4-A79D-CCEB473ECF16}"/>
            </c:ext>
          </c:extLst>
        </c:ser>
        <c:ser>
          <c:idx val="10"/>
          <c:order val="10"/>
          <c:tx>
            <c:strRef>
              <c:f>'Figura 20'!$AE$26</c:f>
              <c:strCache>
                <c:ptCount val="1"/>
                <c:pt idx="0">
                  <c:v>Doctorado</c:v>
                </c:pt>
              </c:strCache>
            </c:strRef>
          </c:tx>
          <c:spPr>
            <a:ln w="28575" cap="rnd">
              <a:solidFill>
                <a:schemeClr val="accent5">
                  <a:lumMod val="60000"/>
                </a:schemeClr>
              </a:solidFill>
              <a:round/>
            </a:ln>
            <a:effectLst/>
          </c:spPr>
          <c:marker>
            <c:symbol val="none"/>
          </c:marker>
          <c:val>
            <c:numRef>
              <c:f>'Figura 20'!$AE$27:$AE$36</c:f>
              <c:numCache>
                <c:formatCode>0.0%</c:formatCode>
                <c:ptCount val="10"/>
                <c:pt idx="0">
                  <c:v>0.29693796952156232</c:v>
                </c:pt>
                <c:pt idx="1">
                  <c:v>0.27197790617195899</c:v>
                </c:pt>
                <c:pt idx="2">
                  <c:v>0.2362807678441281</c:v>
                </c:pt>
                <c:pt idx="3">
                  <c:v>0.19513527316480919</c:v>
                </c:pt>
                <c:pt idx="4">
                  <c:v>0.2452120276855054</c:v>
                </c:pt>
                <c:pt idx="5">
                  <c:v>0.25614895528628051</c:v>
                </c:pt>
                <c:pt idx="6">
                  <c:v>0.11260541691107551</c:v>
                </c:pt>
                <c:pt idx="7">
                  <c:v>9.2795377633522413E-2</c:v>
                </c:pt>
                <c:pt idx="8">
                  <c:v>0.12560919427119091</c:v>
                </c:pt>
                <c:pt idx="9">
                  <c:v>1.8957869783864819E-2</c:v>
                </c:pt>
              </c:numCache>
            </c:numRef>
          </c:val>
          <c:smooth val="0"/>
          <c:extLst>
            <c:ext xmlns:c16="http://schemas.microsoft.com/office/drawing/2014/chart" uri="{C3380CC4-5D6E-409C-BE32-E72D297353CC}">
              <c16:uniqueId val="{0000000A-107C-4BF4-A79D-CCEB473ECF16}"/>
            </c:ext>
          </c:extLst>
        </c:ser>
        <c:ser>
          <c:idx val="11"/>
          <c:order val="11"/>
          <c:tx>
            <c:strRef>
              <c:f>'Figura 20'!$AF$26</c:f>
              <c:strCache>
                <c:ptCount val="1"/>
                <c:pt idx="0">
                  <c:v>Nivel ignorado</c:v>
                </c:pt>
              </c:strCache>
            </c:strRef>
          </c:tx>
          <c:spPr>
            <a:ln w="28575" cap="rnd">
              <a:solidFill>
                <a:schemeClr val="accent6">
                  <a:lumMod val="60000"/>
                </a:schemeClr>
              </a:solidFill>
              <a:round/>
            </a:ln>
            <a:effectLst/>
          </c:spPr>
          <c:marker>
            <c:symbol val="none"/>
          </c:marker>
          <c:val>
            <c:numRef>
              <c:f>'Figura 20'!$AF$27:$AF$36</c:f>
              <c:numCache>
                <c:formatCode>0.0%</c:formatCode>
                <c:ptCount val="10"/>
                <c:pt idx="0">
                  <c:v>0.26836977987621752</c:v>
                </c:pt>
                <c:pt idx="1">
                  <c:v>0.50582895022694951</c:v>
                </c:pt>
                <c:pt idx="2">
                  <c:v>0.25975203189481277</c:v>
                </c:pt>
                <c:pt idx="3">
                  <c:v>0.39913413799331532</c:v>
                </c:pt>
                <c:pt idx="4">
                  <c:v>0.3859149463537993</c:v>
                </c:pt>
                <c:pt idx="5">
                  <c:v>0.31634538749211932</c:v>
                </c:pt>
                <c:pt idx="6">
                  <c:v>9.369738252230897E-2</c:v>
                </c:pt>
                <c:pt idx="7">
                  <c:v>0.33874786411265578</c:v>
                </c:pt>
                <c:pt idx="8">
                  <c:v>0.25474334186039449</c:v>
                </c:pt>
                <c:pt idx="9">
                  <c:v>0.29347998695891092</c:v>
                </c:pt>
              </c:numCache>
            </c:numRef>
          </c:val>
          <c:smooth val="0"/>
          <c:extLst>
            <c:ext xmlns:c16="http://schemas.microsoft.com/office/drawing/2014/chart" uri="{C3380CC4-5D6E-409C-BE32-E72D297353CC}">
              <c16:uniqueId val="{0000000B-107C-4BF4-A79D-CCEB473ECF16}"/>
            </c:ext>
          </c:extLst>
        </c:ser>
        <c:dLbls>
          <c:showLegendKey val="0"/>
          <c:showVal val="0"/>
          <c:showCatName val="0"/>
          <c:showSerName val="0"/>
          <c:showPercent val="0"/>
          <c:showBubbleSize val="0"/>
        </c:dLbls>
        <c:smooth val="0"/>
        <c:axId val="480683152"/>
        <c:axId val="480680272"/>
        <c:extLst>
          <c:ext xmlns:c15="http://schemas.microsoft.com/office/drawing/2012/chart" uri="{02D57815-91ED-43cb-92C2-25804820EDAC}">
            <c15:filteredLineSeries>
              <c15:ser>
                <c:idx val="0"/>
                <c:order val="0"/>
                <c:tx>
                  <c:strRef>
                    <c:extLst>
                      <c:ext uri="{02D57815-91ED-43cb-92C2-25804820EDAC}">
                        <c15:formulaRef>
                          <c15:sqref>'Figura 20'!$U$26</c15:sqref>
                        </c15:formulaRef>
                      </c:ext>
                    </c:extLst>
                    <c:strCache>
                      <c:ptCount val="1"/>
                      <c:pt idx="0">
                        <c:v>ano_trimestre</c:v>
                      </c:pt>
                    </c:strCache>
                  </c:strRef>
                </c:tx>
                <c:spPr>
                  <a:ln w="28575" cap="rnd">
                    <a:solidFill>
                      <a:schemeClr val="accent1"/>
                    </a:solidFill>
                    <a:round/>
                  </a:ln>
                  <a:effectLst/>
                </c:spPr>
                <c:marker>
                  <c:symbol val="none"/>
                </c:marker>
                <c:val>
                  <c:numRef>
                    <c:extLst>
                      <c:ext uri="{02D57815-91ED-43cb-92C2-25804820EDAC}">
                        <c15:formulaRef>
                          <c15:sqref>'Figura 20'!$U$27:$U$36</c15:sqref>
                        </c15:formulaRef>
                      </c:ext>
                    </c:extLst>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val>
                <c:smooth val="0"/>
                <c:extLst>
                  <c:ext xmlns:c16="http://schemas.microsoft.com/office/drawing/2014/chart" uri="{C3380CC4-5D6E-409C-BE32-E72D297353CC}">
                    <c16:uniqueId val="{00000000-107C-4BF4-A79D-CCEB473ECF16}"/>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'Figura 20'!$W$26</c15:sqref>
                        </c15:formulaRef>
                      </c:ext>
                    </c:extLst>
                    <c:strCache>
                      <c:ptCount val="1"/>
                      <c:pt idx="0">
                        <c:v>Educación preescolar</c:v>
                      </c:pt>
                    </c:strCache>
                  </c:strRef>
                </c:tx>
                <c:spPr>
                  <a:ln w="28575" cap="rnd">
                    <a:solidFill>
                      <a:schemeClr val="accent3"/>
                    </a:solidFill>
                    <a:round/>
                  </a:ln>
                  <a:effectLst/>
                </c:spPr>
                <c:marker>
                  <c:symbol val="none"/>
                </c:marker>
                <c:val>
                  <c:numRef>
                    <c:extLst xmlns:c15="http://schemas.microsoft.com/office/drawing/2012/chart">
                      <c:ext xmlns:c15="http://schemas.microsoft.com/office/drawing/2012/chart" uri="{02D57815-91ED-43cb-92C2-25804820EDAC}">
                        <c15:formulaRef>
                          <c15:sqref>'Figura 20'!$W$27:$W$36</c15:sqref>
                        </c15:formulaRef>
                      </c:ext>
                    </c:extLst>
                    <c:numCache>
                      <c:formatCode>0.0%</c:formatCode>
                      <c:ptCount val="10"/>
                      <c:pt idx="0">
                        <c:v>0.59371091772570983</c:v>
                      </c:pt>
                      <c:pt idx="1">
                        <c:v>0.57066800131450712</c:v>
                      </c:pt>
                      <c:pt idx="2">
                        <c:v>0.47109347452193612</c:v>
                      </c:pt>
                      <c:pt idx="3">
                        <c:v>0.53522712814311091</c:v>
                      </c:pt>
                      <c:pt idx="4">
                        <c:v>0.47477996261810118</c:v>
                      </c:pt>
                      <c:pt idx="5">
                        <c:v>0.48372437345230479</c:v>
                      </c:pt>
                      <c:pt idx="6">
                        <c:v>0.40815824440283582</c:v>
                      </c:pt>
                      <c:pt idx="7">
                        <c:v>0.25931148691384431</c:v>
                      </c:pt>
                      <c:pt idx="8">
                        <c:v>1</c:v>
                      </c:pt>
                      <c:pt idx="9">
                        <c:v>0</c:v>
                      </c:pt>
                    </c:numCache>
                  </c:numRef>
                </c:val>
                <c:smooth val="0"/>
                <c:extLst xmlns:c15="http://schemas.microsoft.com/office/drawing/2012/chart">
                  <c:ext xmlns:c16="http://schemas.microsoft.com/office/drawing/2014/chart" uri="{C3380CC4-5D6E-409C-BE32-E72D297353CC}">
                    <c16:uniqueId val="{00000001-107C-4BF4-A79D-CCEB473ECF16}"/>
                  </c:ext>
                </c:extLst>
              </c15:ser>
            </c15:filteredLineSeries>
          </c:ext>
        </c:extLst>
      </c:lineChart>
      <c:catAx>
        <c:axId val="480683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480680272"/>
        <c:crosses val="autoZero"/>
        <c:auto val="1"/>
        <c:lblAlgn val="ctr"/>
        <c:lblOffset val="100"/>
        <c:noMultiLvlLbl val="0"/>
      </c:catAx>
      <c:valAx>
        <c:axId val="48068027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4806831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Informalidad previsional por nivel educacional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barChart>
        <c:barDir val="col"/>
        <c:grouping val="clustered"/>
        <c:varyColors val="0"/>
        <c:ser>
          <c:idx val="0"/>
          <c:order val="0"/>
          <c:tx>
            <c:strRef>
              <c:f>'Figura 20'!$U$27</c:f>
              <c:strCache>
                <c:ptCount val="1"/>
                <c:pt idx="0">
                  <c:v>2013</c:v>
                </c:pt>
              </c:strCache>
            </c:strRef>
          </c:tx>
          <c:spPr>
            <a:solidFill>
              <a:schemeClr val="accent1"/>
            </a:solidFill>
            <a:ln>
              <a:noFill/>
            </a:ln>
            <a:effectLst/>
          </c:spPr>
          <c:invertIfNegative val="0"/>
          <c:cat>
            <c:strRef>
              <c:extLst>
                <c:ext xmlns:c15="http://schemas.microsoft.com/office/drawing/2012/chart" uri="{02D57815-91ED-43cb-92C2-25804820EDAC}">
                  <c15:fullRef>
                    <c15:sqref>'Figura 20'!$V$26:$AF$26</c15:sqref>
                  </c15:fullRef>
                </c:ext>
              </c:extLst>
              <c:f>('Figura 20'!$V$26,'Figura 20'!$X$26:$AE$26)</c:f>
              <c:strCache>
                <c:ptCount val="7"/>
                <c:pt idx="0">
                  <c:v>Nunca estudió</c:v>
                </c:pt>
                <c:pt idx="1">
                  <c:v>Educación primaria</c:v>
                </c:pt>
                <c:pt idx="2">
                  <c:v>Educación secundaria</c:v>
                </c:pt>
                <c:pt idx="3">
                  <c:v>Educación Técnica (Educación Superior no Universitaria)</c:v>
                </c:pt>
                <c:pt idx="4">
                  <c:v>Educación universitaria</c:v>
                </c:pt>
                <c:pt idx="5">
                  <c:v>Post títulos y maestría</c:v>
                </c:pt>
                <c:pt idx="6">
                  <c:v>Doctorado</c:v>
                </c:pt>
              </c:strCache>
            </c:strRef>
          </c:cat>
          <c:val>
            <c:numRef>
              <c:extLst>
                <c:ext xmlns:c15="http://schemas.microsoft.com/office/drawing/2012/chart" uri="{02D57815-91ED-43cb-92C2-25804820EDAC}">
                  <c15:fullRef>
                    <c15:sqref>'Figura 20'!$V$27:$AF$27</c15:sqref>
                  </c15:fullRef>
                </c:ext>
              </c:extLst>
              <c:f>('Figura 20'!$V$27,'Figura 20'!$X$27:$AE$27)</c:f>
              <c:numCache>
                <c:formatCode>0.0%</c:formatCode>
                <c:ptCount val="7"/>
                <c:pt idx="0">
                  <c:v>0.68702937747183901</c:v>
                </c:pt>
                <c:pt idx="1">
                  <c:v>0.54195434476874194</c:v>
                </c:pt>
                <c:pt idx="2">
                  <c:v>0.34266318177791039</c:v>
                </c:pt>
                <c:pt idx="3">
                  <c:v>0.22918974325492569</c:v>
                </c:pt>
                <c:pt idx="4">
                  <c:v>0.2323590206164132</c:v>
                </c:pt>
                <c:pt idx="5">
                  <c:v>0.17993862365985061</c:v>
                </c:pt>
                <c:pt idx="6">
                  <c:v>0.29693796952156232</c:v>
                </c:pt>
              </c:numCache>
            </c:numRef>
          </c:val>
          <c:extLst>
            <c:ext xmlns:c16="http://schemas.microsoft.com/office/drawing/2014/chart" uri="{C3380CC4-5D6E-409C-BE32-E72D297353CC}">
              <c16:uniqueId val="{00000000-4FD0-4248-A8D5-CB615EE7A0DA}"/>
            </c:ext>
          </c:extLst>
        </c:ser>
        <c:ser>
          <c:idx val="1"/>
          <c:order val="1"/>
          <c:tx>
            <c:strRef>
              <c:f>'Figura 20'!$U$36</c:f>
              <c:strCache>
                <c:ptCount val="1"/>
                <c:pt idx="0">
                  <c:v>2022</c:v>
                </c:pt>
              </c:strCache>
            </c:strRef>
          </c:tx>
          <c:spPr>
            <a:solidFill>
              <a:schemeClr val="accent2"/>
            </a:solidFill>
            <a:ln>
              <a:noFill/>
            </a:ln>
            <a:effectLst/>
          </c:spPr>
          <c:invertIfNegative val="0"/>
          <c:cat>
            <c:strRef>
              <c:extLst>
                <c:ext xmlns:c15="http://schemas.microsoft.com/office/drawing/2012/chart" uri="{02D57815-91ED-43cb-92C2-25804820EDAC}">
                  <c15:fullRef>
                    <c15:sqref>'Figura 20'!$V$26:$AF$26</c15:sqref>
                  </c15:fullRef>
                </c:ext>
              </c:extLst>
              <c:f>('Figura 20'!$V$26,'Figura 20'!$X$26:$AE$26)</c:f>
              <c:strCache>
                <c:ptCount val="7"/>
                <c:pt idx="0">
                  <c:v>Nunca estudió</c:v>
                </c:pt>
                <c:pt idx="1">
                  <c:v>Educación primaria</c:v>
                </c:pt>
                <c:pt idx="2">
                  <c:v>Educación secundaria</c:v>
                </c:pt>
                <c:pt idx="3">
                  <c:v>Educación Técnica (Educación Superior no Universitaria)</c:v>
                </c:pt>
                <c:pt idx="4">
                  <c:v>Educación universitaria</c:v>
                </c:pt>
                <c:pt idx="5">
                  <c:v>Post títulos y maestría</c:v>
                </c:pt>
                <c:pt idx="6">
                  <c:v>Doctorado</c:v>
                </c:pt>
              </c:strCache>
            </c:strRef>
          </c:cat>
          <c:val>
            <c:numRef>
              <c:extLst>
                <c:ext xmlns:c15="http://schemas.microsoft.com/office/drawing/2012/chart" uri="{02D57815-91ED-43cb-92C2-25804820EDAC}">
                  <c15:fullRef>
                    <c15:sqref>'Figura 20'!$V$36:$AF$36</c15:sqref>
                  </c15:fullRef>
                </c:ext>
              </c:extLst>
              <c:f>('Figura 20'!$V$36,'Figura 20'!$X$36:$AE$36)</c:f>
              <c:numCache>
                <c:formatCode>0.0%</c:formatCode>
                <c:ptCount val="7"/>
                <c:pt idx="0">
                  <c:v>0.70940850743833972</c:v>
                </c:pt>
                <c:pt idx="1">
                  <c:v>0.55594311822690456</c:v>
                </c:pt>
                <c:pt idx="2">
                  <c:v>0.3588235271293585</c:v>
                </c:pt>
                <c:pt idx="3">
                  <c:v>0.21304451948310499</c:v>
                </c:pt>
                <c:pt idx="4">
                  <c:v>0.1782949667404061</c:v>
                </c:pt>
                <c:pt idx="5">
                  <c:v>6.8914365317919168E-2</c:v>
                </c:pt>
                <c:pt idx="6">
                  <c:v>1.8957869783864819E-2</c:v>
                </c:pt>
              </c:numCache>
            </c:numRef>
          </c:val>
          <c:extLst>
            <c:ext xmlns:c16="http://schemas.microsoft.com/office/drawing/2014/chart" uri="{C3380CC4-5D6E-409C-BE32-E72D297353CC}">
              <c16:uniqueId val="{00000001-4FD0-4248-A8D5-CB615EE7A0DA}"/>
            </c:ext>
          </c:extLst>
        </c:ser>
        <c:dLbls>
          <c:showLegendKey val="0"/>
          <c:showVal val="0"/>
          <c:showCatName val="0"/>
          <c:showSerName val="0"/>
          <c:showPercent val="0"/>
          <c:showBubbleSize val="0"/>
        </c:dLbls>
        <c:gapWidth val="219"/>
        <c:overlap val="-27"/>
        <c:axId val="266639648"/>
        <c:axId val="266640608"/>
      </c:barChart>
      <c:catAx>
        <c:axId val="266639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266640608"/>
        <c:crosses val="autoZero"/>
        <c:auto val="1"/>
        <c:lblAlgn val="ctr"/>
        <c:lblOffset val="100"/>
        <c:noMultiLvlLbl val="0"/>
      </c:catAx>
      <c:valAx>
        <c:axId val="26664060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266639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Nro de cotizantes por nivel educacional (N)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barChart>
        <c:barDir val="col"/>
        <c:grouping val="clustered"/>
        <c:varyColors val="0"/>
        <c:ser>
          <c:idx val="0"/>
          <c:order val="0"/>
          <c:tx>
            <c:v>2013</c:v>
          </c:tx>
          <c:spPr>
            <a:solidFill>
              <a:schemeClr val="accent1"/>
            </a:solidFill>
            <a:ln>
              <a:noFill/>
            </a:ln>
            <a:effectLst/>
          </c:spPr>
          <c:invertIfNegative val="0"/>
          <c:cat>
            <c:strRef>
              <c:extLst>
                <c:ext xmlns:c15="http://schemas.microsoft.com/office/drawing/2012/chart" uri="{02D57815-91ED-43cb-92C2-25804820EDAC}">
                  <c15:fullRef>
                    <c15:sqref>'Figura 20'!$U$40:$AF$40</c15:sqref>
                  </c15:fullRef>
                </c:ext>
              </c:extLst>
              <c:f>('Figura 20'!$V$40,'Figura 20'!$X$40:$AD$40,'Figura 20'!$AF$40)</c:f>
              <c:strCache>
                <c:ptCount val="7"/>
                <c:pt idx="0">
                  <c:v>Nunca estudió</c:v>
                </c:pt>
                <c:pt idx="1">
                  <c:v>Educación primaria</c:v>
                </c:pt>
                <c:pt idx="2">
                  <c:v>Educación secundaria</c:v>
                </c:pt>
                <c:pt idx="3">
                  <c:v>Educación Técnica (Educación Superior no Universitaria)</c:v>
                </c:pt>
                <c:pt idx="4">
                  <c:v>Educación universitaria</c:v>
                </c:pt>
                <c:pt idx="5">
                  <c:v>Post títulos y maestría</c:v>
                </c:pt>
                <c:pt idx="6">
                  <c:v>Nivel ignorado</c:v>
                </c:pt>
              </c:strCache>
            </c:strRef>
          </c:cat>
          <c:val>
            <c:numRef>
              <c:extLst>
                <c:ext xmlns:c15="http://schemas.microsoft.com/office/drawing/2012/chart" uri="{02D57815-91ED-43cb-92C2-25804820EDAC}">
                  <c15:fullRef>
                    <c15:sqref>'Figura 20'!$U$41:$AF$41</c15:sqref>
                  </c15:fullRef>
                </c:ext>
              </c:extLst>
              <c:f>('Figura 20'!$V$41,'Figura 20'!$X$41:$AD$41,'Figura 20'!$AF$41)</c:f>
              <c:numCache>
                <c:formatCode>_(* #,##0_);_(* \(#,##0\);_(* "-"_);_(@_)</c:formatCode>
                <c:ptCount val="7"/>
                <c:pt idx="0">
                  <c:v>42756.570659570927</c:v>
                </c:pt>
                <c:pt idx="1">
                  <c:v>842431.18495056464</c:v>
                </c:pt>
                <c:pt idx="2">
                  <c:v>1239982.8478784789</c:v>
                </c:pt>
                <c:pt idx="3">
                  <c:v>221929.2716447782</c:v>
                </c:pt>
                <c:pt idx="4">
                  <c:v>406680.73843320017</c:v>
                </c:pt>
                <c:pt idx="5">
                  <c:v>27898.026864986488</c:v>
                </c:pt>
                <c:pt idx="6">
                  <c:v>6215.1330180339719</c:v>
                </c:pt>
              </c:numCache>
            </c:numRef>
          </c:val>
          <c:extLst>
            <c:ext xmlns:c16="http://schemas.microsoft.com/office/drawing/2014/chart" uri="{C3380CC4-5D6E-409C-BE32-E72D297353CC}">
              <c16:uniqueId val="{00000000-1E8A-4C0C-8FD7-DA76B8AC7139}"/>
            </c:ext>
          </c:extLst>
        </c:ser>
        <c:ser>
          <c:idx val="1"/>
          <c:order val="1"/>
          <c:tx>
            <c:v>2022</c:v>
          </c:tx>
          <c:spPr>
            <a:solidFill>
              <a:schemeClr val="accent2"/>
            </a:solidFill>
            <a:ln>
              <a:noFill/>
            </a:ln>
            <a:effectLst/>
          </c:spPr>
          <c:invertIfNegative val="0"/>
          <c:cat>
            <c:strRef>
              <c:extLst>
                <c:ext xmlns:c15="http://schemas.microsoft.com/office/drawing/2012/chart" uri="{02D57815-91ED-43cb-92C2-25804820EDAC}">
                  <c15:fullRef>
                    <c15:sqref>'Figura 20'!$U$40:$AF$40</c15:sqref>
                  </c15:fullRef>
                </c:ext>
              </c:extLst>
              <c:f>('Figura 20'!$V$40,'Figura 20'!$X$40:$AD$40,'Figura 20'!$AF$40)</c:f>
              <c:strCache>
                <c:ptCount val="7"/>
                <c:pt idx="0">
                  <c:v>Nunca estudió</c:v>
                </c:pt>
                <c:pt idx="1">
                  <c:v>Educación primaria</c:v>
                </c:pt>
                <c:pt idx="2">
                  <c:v>Educación secundaria</c:v>
                </c:pt>
                <c:pt idx="3">
                  <c:v>Educación Técnica (Educación Superior no Universitaria)</c:v>
                </c:pt>
                <c:pt idx="4">
                  <c:v>Educación universitaria</c:v>
                </c:pt>
                <c:pt idx="5">
                  <c:v>Post títulos y maestría</c:v>
                </c:pt>
                <c:pt idx="6">
                  <c:v>Nivel ignorado</c:v>
                </c:pt>
              </c:strCache>
            </c:strRef>
          </c:cat>
          <c:val>
            <c:numRef>
              <c:extLst>
                <c:ext xmlns:c15="http://schemas.microsoft.com/office/drawing/2012/chart" uri="{02D57815-91ED-43cb-92C2-25804820EDAC}">
                  <c15:fullRef>
                    <c15:sqref>'Figura 20'!$U$50:$AF$50</c15:sqref>
                  </c15:fullRef>
                </c:ext>
              </c:extLst>
              <c:f>('Figura 20'!$V$50,'Figura 20'!$X$50:$AD$50,'Figura 20'!$AF$50)</c:f>
              <c:numCache>
                <c:formatCode>_(* #,##0_);_(* \(#,##0\);_(* "-"_);_(@_)</c:formatCode>
                <c:ptCount val="7"/>
                <c:pt idx="0">
                  <c:v>24793.224457522505</c:v>
                </c:pt>
                <c:pt idx="1">
                  <c:v>633271.57651422522</c:v>
                </c:pt>
                <c:pt idx="2">
                  <c:v>1336102.7206428009</c:v>
                </c:pt>
                <c:pt idx="3">
                  <c:v>265758.17443311098</c:v>
                </c:pt>
                <c:pt idx="4">
                  <c:v>431511.96647431096</c:v>
                </c:pt>
                <c:pt idx="5">
                  <c:v>24622.234961008711</c:v>
                </c:pt>
                <c:pt idx="6">
                  <c:v>12389.219550681199</c:v>
                </c:pt>
              </c:numCache>
            </c:numRef>
          </c:val>
          <c:extLst>
            <c:ext xmlns:c16="http://schemas.microsoft.com/office/drawing/2014/chart" uri="{C3380CC4-5D6E-409C-BE32-E72D297353CC}">
              <c16:uniqueId val="{00000001-1E8A-4C0C-8FD7-DA76B8AC7139}"/>
            </c:ext>
          </c:extLst>
        </c:ser>
        <c:dLbls>
          <c:showLegendKey val="0"/>
          <c:showVal val="0"/>
          <c:showCatName val="0"/>
          <c:showSerName val="0"/>
          <c:showPercent val="0"/>
          <c:showBubbleSize val="0"/>
        </c:dLbls>
        <c:gapWidth val="219"/>
        <c:overlap val="-27"/>
        <c:axId val="266639648"/>
        <c:axId val="266640608"/>
      </c:barChart>
      <c:catAx>
        <c:axId val="266639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266640608"/>
        <c:crosses val="autoZero"/>
        <c:auto val="1"/>
        <c:lblAlgn val="ctr"/>
        <c:lblOffset val="100"/>
        <c:noMultiLvlLbl val="0"/>
      </c:catAx>
      <c:valAx>
        <c:axId val="2666406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266639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tx>
            <c:strRef>
              <c:f>'Figura 21'!$K$24</c:f>
              <c:strCache>
                <c:ptCount val="1"/>
                <c:pt idx="0">
                  <c:v>Informalidad previsional sin honorarios</c:v>
                </c:pt>
              </c:strCache>
            </c:strRef>
          </c:tx>
          <c:spPr>
            <a:ln w="28575" cap="rnd">
              <a:solidFill>
                <a:schemeClr val="accent2"/>
              </a:solidFill>
              <a:prstDash val="sysDash"/>
              <a:round/>
            </a:ln>
            <a:effectLst/>
          </c:spPr>
          <c:marker>
            <c:symbol val="none"/>
          </c:marker>
          <c:cat>
            <c:numRef>
              <c:f>'Figura 21'!$C$25:$C$34</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 21'!$K$25:$K$34</c:f>
              <c:numCache>
                <c:formatCode>0.0%</c:formatCode>
                <c:ptCount val="10"/>
                <c:pt idx="0">
                  <c:v>0.38560915849952204</c:v>
                </c:pt>
                <c:pt idx="1">
                  <c:v>0.38254593303253392</c:v>
                </c:pt>
                <c:pt idx="2">
                  <c:v>0.38423279400675703</c:v>
                </c:pt>
                <c:pt idx="3">
                  <c:v>0.3817822824614141</c:v>
                </c:pt>
                <c:pt idx="4">
                  <c:v>0.38615275412396632</c:v>
                </c:pt>
                <c:pt idx="5">
                  <c:v>0.37634331246083186</c:v>
                </c:pt>
                <c:pt idx="6">
                  <c:v>0.38102501108689635</c:v>
                </c:pt>
                <c:pt idx="7">
                  <c:v>0.31815088741135022</c:v>
                </c:pt>
                <c:pt idx="8">
                  <c:v>0.31936727464186587</c:v>
                </c:pt>
                <c:pt idx="9">
                  <c:v>0.33631578145048524</c:v>
                </c:pt>
              </c:numCache>
            </c:numRef>
          </c:val>
          <c:smooth val="0"/>
          <c:extLst>
            <c:ext xmlns:c16="http://schemas.microsoft.com/office/drawing/2014/chart" uri="{C3380CC4-5D6E-409C-BE32-E72D297353CC}">
              <c16:uniqueId val="{00000001-7C2C-49DA-9BB6-C085E83DE3CA}"/>
            </c:ext>
          </c:extLst>
        </c:ser>
        <c:ser>
          <c:idx val="0"/>
          <c:order val="1"/>
          <c:tx>
            <c:strRef>
              <c:f>'Figura 21'!$J$24</c:f>
              <c:strCache>
                <c:ptCount val="1"/>
                <c:pt idx="0">
                  <c:v>Informalidad previsional</c:v>
                </c:pt>
              </c:strCache>
            </c:strRef>
          </c:tx>
          <c:spPr>
            <a:ln w="28575" cap="rnd">
              <a:solidFill>
                <a:schemeClr val="accent1"/>
              </a:solidFill>
              <a:round/>
            </a:ln>
            <a:effectLst/>
          </c:spPr>
          <c:marker>
            <c:symbol val="none"/>
          </c:marker>
          <c:cat>
            <c:numRef>
              <c:f>'Figura 21'!$C$25:$C$34</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'Figura 21'!$J$25:$J$34</c:f>
              <c:numCache>
                <c:formatCode>0.0%</c:formatCode>
                <c:ptCount val="10"/>
                <c:pt idx="0">
                  <c:v>0.38560915849952204</c:v>
                </c:pt>
                <c:pt idx="1">
                  <c:v>0.38254593303253392</c:v>
                </c:pt>
                <c:pt idx="2">
                  <c:v>0.38423279400675703</c:v>
                </c:pt>
                <c:pt idx="3">
                  <c:v>0.3817822824614141</c:v>
                </c:pt>
                <c:pt idx="4">
                  <c:v>0.38615275412396632</c:v>
                </c:pt>
                <c:pt idx="5">
                  <c:v>0.37634331246083186</c:v>
                </c:pt>
                <c:pt idx="6">
                  <c:v>0.35635056038849333</c:v>
                </c:pt>
                <c:pt idx="7">
                  <c:v>0.2885770530872459</c:v>
                </c:pt>
                <c:pt idx="8">
                  <c:v>0.29239974000744828</c:v>
                </c:pt>
                <c:pt idx="9">
                  <c:v>0.30703287404041324</c:v>
                </c:pt>
              </c:numCache>
            </c:numRef>
          </c:val>
          <c:smooth val="0"/>
          <c:extLst>
            <c:ext xmlns:c16="http://schemas.microsoft.com/office/drawing/2014/chart" uri="{C3380CC4-5D6E-409C-BE32-E72D297353CC}">
              <c16:uniqueId val="{00000000-7C2C-49DA-9BB6-C085E83DE3CA}"/>
            </c:ext>
          </c:extLst>
        </c:ser>
        <c:dLbls>
          <c:showLegendKey val="0"/>
          <c:showVal val="0"/>
          <c:showCatName val="0"/>
          <c:showSerName val="0"/>
          <c:showPercent val="0"/>
          <c:showBubbleSize val="0"/>
        </c:dLbls>
        <c:smooth val="0"/>
        <c:axId val="480665392"/>
        <c:axId val="480667312"/>
      </c:lineChart>
      <c:catAx>
        <c:axId val="480665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480667312"/>
        <c:crosses val="autoZero"/>
        <c:auto val="1"/>
        <c:lblAlgn val="ctr"/>
        <c:lblOffset val="100"/>
        <c:noMultiLvlLbl val="0"/>
      </c:catAx>
      <c:valAx>
        <c:axId val="480667312"/>
        <c:scaling>
          <c:orientation val="minMax"/>
          <c:min val="0.2"/>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480665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Informalidad previsional con ESI (trimestres oct-dic de cada año)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4.1346105303571114E-2"/>
          <c:y val="0.13329036310342765"/>
          <c:w val="0.94643092284137464"/>
          <c:h val="0.77099330023329549"/>
        </c:manualLayout>
      </c:layout>
      <c:lineChart>
        <c:grouping val="standard"/>
        <c:varyColors val="0"/>
        <c:ser>
          <c:idx val="0"/>
          <c:order val="0"/>
          <c:tx>
            <c:strRef>
              <c:f>ESI!$S$1</c:f>
              <c:strCache>
                <c:ptCount val="1"/>
                <c:pt idx="0">
                  <c:v>tasa_infprev</c:v>
                </c:pt>
              </c:strCache>
            </c:strRef>
          </c:tx>
          <c:spPr>
            <a:ln w="28575" cap="rnd">
              <a:solidFill>
                <a:schemeClr val="accent1">
                  <a:lumMod val="60000"/>
                  <a:lumOff val="40000"/>
                </a:schemeClr>
              </a:solidFill>
              <a:round/>
            </a:ln>
            <a:effectLst/>
          </c:spPr>
          <c:marker>
            <c:symbol val="none"/>
          </c:marker>
          <c:dLbls>
            <c:dLbl>
              <c:idx val="0"/>
              <c:layout>
                <c:manualLayout>
                  <c:x val="-1.5143318392323316E-2"/>
                  <c:y val="-5.71117465521593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016-4636-85D2-8C7DCD57F99B}"/>
                </c:ext>
              </c:extLst>
            </c:dLbl>
            <c:dLbl>
              <c:idx val="1"/>
              <c:layout>
                <c:manualLayout>
                  <c:x val="-2.2714977588484973E-2"/>
                  <c:y val="-4.56893972417275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016-4636-85D2-8C7DCD57F99B}"/>
                </c:ext>
              </c:extLst>
            </c:dLbl>
            <c:dLbl>
              <c:idx val="2"/>
              <c:layout>
                <c:manualLayout>
                  <c:x val="-2.5743641266949637E-2"/>
                  <c:y val="-5.3304296782015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016-4636-85D2-8C7DCD57F99B}"/>
                </c:ext>
              </c:extLst>
            </c:dLbl>
            <c:dLbl>
              <c:idx val="3"/>
              <c:layout>
                <c:manualLayout>
                  <c:x val="-2.5743641266949693E-2"/>
                  <c:y val="-5.3304296782015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016-4636-85D2-8C7DCD57F99B}"/>
                </c:ext>
              </c:extLst>
            </c:dLbl>
            <c:dLbl>
              <c:idx val="4"/>
              <c:layout>
                <c:manualLayout>
                  <c:x val="-2.1200687811212218E-2"/>
                  <c:y val="-5.32864748459651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016-4636-85D2-8C7DCD57F99B}"/>
                </c:ext>
              </c:extLst>
            </c:dLbl>
            <c:dLbl>
              <c:idx val="5"/>
              <c:layout>
                <c:manualLayout>
                  <c:x val="-1.817198062628338E-2"/>
                  <c:y val="-6.46551414727523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016-4636-85D2-8C7DCD57F99B}"/>
                </c:ext>
              </c:extLst>
            </c:dLbl>
            <c:dLbl>
              <c:idx val="6"/>
              <c:layout>
                <c:manualLayout>
                  <c:x val="-1.5143360935784425E-2"/>
                  <c:y val="-6.08655859304899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016-4636-85D2-8C7DCD57F99B}"/>
                </c:ext>
              </c:extLst>
            </c:dLbl>
            <c:dLbl>
              <c:idx val="7"/>
              <c:layout>
                <c:manualLayout>
                  <c:x val="-1.7965406277322869E-2"/>
                  <c:y val="-6.84895615241969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016-4636-85D2-8C7DCD57F99B}"/>
                </c:ext>
              </c:extLst>
            </c:dLbl>
            <c:dLbl>
              <c:idx val="8"/>
              <c:layout>
                <c:manualLayout>
                  <c:x val="-1.9381416130595748E-2"/>
                  <c:y val="-6.08835317341627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016-4636-85D2-8C7DCD57F99B}"/>
                </c:ext>
              </c:extLst>
            </c:dLbl>
            <c:dLbl>
              <c:idx val="9"/>
              <c:layout>
                <c:manualLayout>
                  <c:x val="-2.0492595390145973E-2"/>
                  <c:y val="-5.70760303882275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016-4636-85D2-8C7DCD57F99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ESI!$A$2:$A$11</c:f>
              <c:strCache>
                <c:ptCount val="10"/>
                <c:pt idx="0">
                  <c:v>2013</c:v>
                </c:pt>
                <c:pt idx="1">
                  <c:v>2014</c:v>
                </c:pt>
                <c:pt idx="2">
                  <c:v>2015</c:v>
                </c:pt>
                <c:pt idx="3">
                  <c:v>2016</c:v>
                </c:pt>
                <c:pt idx="4">
                  <c:v>2017</c:v>
                </c:pt>
                <c:pt idx="5">
                  <c:v>2018</c:v>
                </c:pt>
                <c:pt idx="6">
                  <c:v>2019</c:v>
                </c:pt>
                <c:pt idx="7">
                  <c:v>2020</c:v>
                </c:pt>
                <c:pt idx="8">
                  <c:v>2021</c:v>
                </c:pt>
                <c:pt idx="9">
                  <c:v>2022</c:v>
                </c:pt>
              </c:strCache>
            </c:strRef>
          </c:cat>
          <c:val>
            <c:numRef>
              <c:f>ESI!$S$2:$S$11</c:f>
              <c:numCache>
                <c:formatCode>0.0%</c:formatCode>
                <c:ptCount val="10"/>
                <c:pt idx="0">
                  <c:v>0.34300880695164943</c:v>
                </c:pt>
                <c:pt idx="1">
                  <c:v>0.35431474039339128</c:v>
                </c:pt>
                <c:pt idx="2">
                  <c:v>0.35149331159797947</c:v>
                </c:pt>
                <c:pt idx="3">
                  <c:v>0.35825097043634507</c:v>
                </c:pt>
                <c:pt idx="4">
                  <c:v>0.36405907132617471</c:v>
                </c:pt>
                <c:pt idx="5">
                  <c:v>0.35462590390339799</c:v>
                </c:pt>
                <c:pt idx="6">
                  <c:v>0.33226901916397422</c:v>
                </c:pt>
                <c:pt idx="7">
                  <c:v>0.3042159536065463</c:v>
                </c:pt>
                <c:pt idx="8">
                  <c:v>0.3121740395466025</c:v>
                </c:pt>
                <c:pt idx="9">
                  <c:v>0.30336714205214382</c:v>
                </c:pt>
              </c:numCache>
            </c:numRef>
          </c:val>
          <c:smooth val="0"/>
          <c:extLst>
            <c:ext xmlns:c16="http://schemas.microsoft.com/office/drawing/2014/chart" uri="{C3380CC4-5D6E-409C-BE32-E72D297353CC}">
              <c16:uniqueId val="{0000000A-9016-4636-85D2-8C7DCD57F99B}"/>
            </c:ext>
          </c:extLst>
        </c:ser>
        <c:ser>
          <c:idx val="1"/>
          <c:order val="1"/>
          <c:tx>
            <c:strRef>
              <c:f>ESI!$T$1</c:f>
              <c:strCache>
                <c:ptCount val="1"/>
                <c:pt idx="0">
                  <c:v>lim_inf_infprev</c:v>
                </c:pt>
              </c:strCache>
            </c:strRef>
          </c:tx>
          <c:spPr>
            <a:ln w="28575" cap="rnd">
              <a:solidFill>
                <a:schemeClr val="accent1">
                  <a:lumMod val="60000"/>
                  <a:lumOff val="40000"/>
                </a:schemeClr>
              </a:solidFill>
              <a:prstDash val="dash"/>
              <a:round/>
            </a:ln>
            <a:effectLst/>
          </c:spPr>
          <c:marker>
            <c:symbol val="none"/>
          </c:marker>
          <c:cat>
            <c:strRef>
              <c:f>ESI!$A$2:$A$11</c:f>
              <c:strCache>
                <c:ptCount val="10"/>
                <c:pt idx="0">
                  <c:v>2013</c:v>
                </c:pt>
                <c:pt idx="1">
                  <c:v>2014</c:v>
                </c:pt>
                <c:pt idx="2">
                  <c:v>2015</c:v>
                </c:pt>
                <c:pt idx="3">
                  <c:v>2016</c:v>
                </c:pt>
                <c:pt idx="4">
                  <c:v>2017</c:v>
                </c:pt>
                <c:pt idx="5">
                  <c:v>2018</c:v>
                </c:pt>
                <c:pt idx="6">
                  <c:v>2019</c:v>
                </c:pt>
                <c:pt idx="7">
                  <c:v>2020</c:v>
                </c:pt>
                <c:pt idx="8">
                  <c:v>2021</c:v>
                </c:pt>
                <c:pt idx="9">
                  <c:v>2022</c:v>
                </c:pt>
              </c:strCache>
            </c:strRef>
          </c:cat>
          <c:val>
            <c:numRef>
              <c:f>ESI!$T$2:$T$11</c:f>
              <c:numCache>
                <c:formatCode>0.0%</c:formatCode>
                <c:ptCount val="10"/>
                <c:pt idx="0">
                  <c:v>0.32448129042082929</c:v>
                </c:pt>
                <c:pt idx="1">
                  <c:v>0.33716203901705522</c:v>
                </c:pt>
                <c:pt idx="2">
                  <c:v>0.33337297002763899</c:v>
                </c:pt>
                <c:pt idx="3">
                  <c:v>0.33991907810971411</c:v>
                </c:pt>
                <c:pt idx="4">
                  <c:v>0.3451859577021944</c:v>
                </c:pt>
                <c:pt idx="5">
                  <c:v>0.33454822628771708</c:v>
                </c:pt>
                <c:pt idx="6">
                  <c:v>0.31000677203693505</c:v>
                </c:pt>
                <c:pt idx="7">
                  <c:v>0.28120890076419636</c:v>
                </c:pt>
                <c:pt idx="8">
                  <c:v>0.2954747614786063</c:v>
                </c:pt>
                <c:pt idx="9">
                  <c:v>0.28562580858025366</c:v>
                </c:pt>
              </c:numCache>
            </c:numRef>
          </c:val>
          <c:smooth val="0"/>
          <c:extLst>
            <c:ext xmlns:c16="http://schemas.microsoft.com/office/drawing/2014/chart" uri="{C3380CC4-5D6E-409C-BE32-E72D297353CC}">
              <c16:uniqueId val="{0000000B-9016-4636-85D2-8C7DCD57F99B}"/>
            </c:ext>
          </c:extLst>
        </c:ser>
        <c:ser>
          <c:idx val="2"/>
          <c:order val="2"/>
          <c:tx>
            <c:strRef>
              <c:f>ESI!$U$1</c:f>
              <c:strCache>
                <c:ptCount val="1"/>
                <c:pt idx="0">
                  <c:v>lim_sup_infprev</c:v>
                </c:pt>
              </c:strCache>
            </c:strRef>
          </c:tx>
          <c:spPr>
            <a:ln w="28575" cap="rnd">
              <a:solidFill>
                <a:schemeClr val="accent1">
                  <a:lumMod val="60000"/>
                  <a:lumOff val="40000"/>
                </a:schemeClr>
              </a:solidFill>
              <a:prstDash val="sysDash"/>
              <a:round/>
            </a:ln>
            <a:effectLst/>
          </c:spPr>
          <c:marker>
            <c:symbol val="none"/>
          </c:marker>
          <c:cat>
            <c:strRef>
              <c:f>ESI!$A$2:$A$11</c:f>
              <c:strCache>
                <c:ptCount val="10"/>
                <c:pt idx="0">
                  <c:v>2013</c:v>
                </c:pt>
                <c:pt idx="1">
                  <c:v>2014</c:v>
                </c:pt>
                <c:pt idx="2">
                  <c:v>2015</c:v>
                </c:pt>
                <c:pt idx="3">
                  <c:v>2016</c:v>
                </c:pt>
                <c:pt idx="4">
                  <c:v>2017</c:v>
                </c:pt>
                <c:pt idx="5">
                  <c:v>2018</c:v>
                </c:pt>
                <c:pt idx="6">
                  <c:v>2019</c:v>
                </c:pt>
                <c:pt idx="7">
                  <c:v>2020</c:v>
                </c:pt>
                <c:pt idx="8">
                  <c:v>2021</c:v>
                </c:pt>
                <c:pt idx="9">
                  <c:v>2022</c:v>
                </c:pt>
              </c:strCache>
            </c:strRef>
          </c:cat>
          <c:val>
            <c:numRef>
              <c:f>ESI!$U$2:$U$11</c:f>
              <c:numCache>
                <c:formatCode>0.0%</c:formatCode>
                <c:ptCount val="10"/>
                <c:pt idx="0">
                  <c:v>0.36200030951465867</c:v>
                </c:pt>
                <c:pt idx="1">
                  <c:v>0.37098659933793243</c:v>
                </c:pt>
                <c:pt idx="2">
                  <c:v>0.36843754417377816</c:v>
                </c:pt>
                <c:pt idx="3">
                  <c:v>0.37719481538307709</c:v>
                </c:pt>
                <c:pt idx="4">
                  <c:v>0.38269344171195308</c:v>
                </c:pt>
                <c:pt idx="5">
                  <c:v>0.37271534106623017</c:v>
                </c:pt>
                <c:pt idx="6">
                  <c:v>0.35319375383188656</c:v>
                </c:pt>
                <c:pt idx="7">
                  <c:v>0.32551267031257369</c:v>
                </c:pt>
                <c:pt idx="8">
                  <c:v>0.32893013318815245</c:v>
                </c:pt>
                <c:pt idx="9">
                  <c:v>0.3208092588752024</c:v>
                </c:pt>
              </c:numCache>
            </c:numRef>
          </c:val>
          <c:smooth val="0"/>
          <c:extLst>
            <c:ext xmlns:c16="http://schemas.microsoft.com/office/drawing/2014/chart" uri="{C3380CC4-5D6E-409C-BE32-E72D297353CC}">
              <c16:uniqueId val="{0000000C-9016-4636-85D2-8C7DCD57F99B}"/>
            </c:ext>
          </c:extLst>
        </c:ser>
        <c:dLbls>
          <c:showLegendKey val="0"/>
          <c:showVal val="0"/>
          <c:showCatName val="0"/>
          <c:showSerName val="0"/>
          <c:showPercent val="0"/>
          <c:showBubbleSize val="0"/>
        </c:dLbls>
        <c:smooth val="0"/>
        <c:axId val="1101159424"/>
        <c:axId val="1101157504"/>
      </c:lineChart>
      <c:catAx>
        <c:axId val="1101159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01157504"/>
        <c:crosses val="autoZero"/>
        <c:auto val="1"/>
        <c:lblAlgn val="ctr"/>
        <c:lblOffset val="100"/>
        <c:noMultiLvlLbl val="0"/>
      </c:catAx>
      <c:valAx>
        <c:axId val="1101157504"/>
        <c:scaling>
          <c:orientation val="minMax"/>
          <c:max val="0.45"/>
          <c:min val="0.2"/>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011594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r>
              <a:rPr lang="es-CL" sz="1000">
                <a:latin typeface="+mj-lt"/>
              </a:rPr>
              <a:t>Diciembre 2023</a:t>
            </a: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endParaRPr lang="es-CL"/>
        </a:p>
      </c:txPr>
    </c:title>
    <c:autoTitleDeleted val="0"/>
    <c:plotArea>
      <c:layout/>
      <c:pieChart>
        <c:varyColors val="1"/>
        <c:ser>
          <c:idx val="0"/>
          <c:order val="0"/>
          <c:spPr>
            <a:solidFill>
              <a:schemeClr val="accent4">
                <a:lumMod val="75000"/>
              </a:schemeClr>
            </a:solidFill>
          </c:spPr>
          <c:dPt>
            <c:idx val="0"/>
            <c:bubble3D val="0"/>
            <c:spPr>
              <a:solidFill>
                <a:srgbClr val="2D3D43"/>
              </a:solidFill>
              <a:ln w="19050">
                <a:solidFill>
                  <a:schemeClr val="lt1"/>
                </a:solidFill>
              </a:ln>
              <a:effectLst/>
            </c:spPr>
            <c:extLst>
              <c:ext xmlns:c16="http://schemas.microsoft.com/office/drawing/2014/chart" uri="{C3380CC4-5D6E-409C-BE32-E72D297353CC}">
                <c16:uniqueId val="{00000001-18C6-4038-B2AC-8A6B547A4245}"/>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3-18C6-4038-B2AC-8A6B547A4245}"/>
              </c:ext>
            </c:extLst>
          </c:dPt>
          <c:dLbls>
            <c:dLbl>
              <c:idx val="0"/>
              <c:layout>
                <c:manualLayout>
                  <c:x val="-8.9879367684902581E-2"/>
                  <c:y val="0.1531514546597168"/>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8C6-4038-B2AC-8A6B547A4245}"/>
                </c:ext>
              </c:extLst>
            </c:dLbl>
            <c:dLbl>
              <c:idx val="1"/>
              <c:spPr>
                <a:noFill/>
                <a:ln>
                  <a:noFill/>
                </a:ln>
                <a:effectLst/>
              </c:spPr>
              <c:txPr>
                <a:bodyPr rot="0" spcFirstLastPara="1" vertOverflow="ellipsis" vert="horz" wrap="square" lIns="38100" tIns="19050" rIns="38100" bIns="19050" anchor="ctr" anchorCtr="0">
                  <a:spAutoFit/>
                </a:bodyPr>
                <a:lstStyle/>
                <a:p>
                  <a:pPr algn="ctr" rtl="0">
                    <a:defRPr lang="en-US" sz="900" b="1" i="0" u="none" strike="noStrike" kern="1200" baseline="0">
                      <a:solidFill>
                        <a:sysClr val="windowText" lastClr="000000"/>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8C6-4038-B2AC-8A6B547A42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dLblPos val="ct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2'!$B$40:$B$41</c:f>
              <c:strCache>
                <c:ptCount val="2"/>
                <c:pt idx="0">
                  <c:v>APS Vejez</c:v>
                </c:pt>
                <c:pt idx="1">
                  <c:v>PGU</c:v>
                </c:pt>
              </c:strCache>
            </c:strRef>
          </c:cat>
          <c:val>
            <c:numRef>
              <c:f>'Figura 2'!$D$40:$D$41</c:f>
              <c:numCache>
                <c:formatCode>_(* #,##0_);_(* \(#,##0\);_(* "-"_);_(@_)</c:formatCode>
                <c:ptCount val="2"/>
                <c:pt idx="0">
                  <c:v>166187</c:v>
                </c:pt>
                <c:pt idx="1">
                  <c:v>1980698</c:v>
                </c:pt>
              </c:numCache>
            </c:numRef>
          </c:val>
          <c:extLst>
            <c:ext xmlns:c16="http://schemas.microsoft.com/office/drawing/2014/chart" uri="{C3380CC4-5D6E-409C-BE32-E72D297353CC}">
              <c16:uniqueId val="{00000004-18C6-4038-B2AC-8A6B547A4245}"/>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j-lt"/>
              <a:ea typeface="+mn-ea"/>
              <a:cs typeface="+mn-cs"/>
            </a:defRPr>
          </a:pPr>
          <a:endParaRPr lang="es-CL"/>
        </a:p>
      </c:txPr>
    </c:legend>
    <c:plotVisOnly val="1"/>
    <c:dispBlanksAs val="gap"/>
    <c:showDLblsOverMax val="0"/>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r>
              <a:rPr lang="es-CL" sz="1000">
                <a:latin typeface="+mj-lt"/>
              </a:rPr>
              <a:t>Diciembre 2024</a:t>
            </a: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endParaRPr lang="es-CL"/>
        </a:p>
      </c:txPr>
    </c:title>
    <c:autoTitleDeleted val="0"/>
    <c:plotArea>
      <c:layout/>
      <c:pieChart>
        <c:varyColors val="1"/>
        <c:ser>
          <c:idx val="0"/>
          <c:order val="0"/>
          <c:spPr>
            <a:solidFill>
              <a:schemeClr val="accent4">
                <a:lumMod val="75000"/>
              </a:schemeClr>
            </a:solidFill>
          </c:spPr>
          <c:dPt>
            <c:idx val="0"/>
            <c:bubble3D val="0"/>
            <c:spPr>
              <a:solidFill>
                <a:srgbClr val="2D3D43"/>
              </a:solidFill>
              <a:ln w="19050">
                <a:solidFill>
                  <a:schemeClr val="lt1"/>
                </a:solidFill>
              </a:ln>
              <a:effectLst/>
            </c:spPr>
            <c:extLst>
              <c:ext xmlns:c16="http://schemas.microsoft.com/office/drawing/2014/chart" uri="{C3380CC4-5D6E-409C-BE32-E72D297353CC}">
                <c16:uniqueId val="{00000001-7024-49FE-B9E2-7010B1BA3BDA}"/>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3-7024-49FE-B9E2-7010B1BA3BDA}"/>
              </c:ext>
            </c:extLst>
          </c:dPt>
          <c:dLbls>
            <c:dLbl>
              <c:idx val="0"/>
              <c:layout>
                <c:manualLayout>
                  <c:x val="-8.9879367684902581E-2"/>
                  <c:y val="0.1531514546597168"/>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024-49FE-B9E2-7010B1BA3BDA}"/>
                </c:ext>
              </c:extLst>
            </c:dLbl>
            <c:dLbl>
              <c:idx val="1"/>
              <c:spPr>
                <a:noFill/>
                <a:ln>
                  <a:noFill/>
                </a:ln>
                <a:effectLst/>
              </c:spPr>
              <c:txPr>
                <a:bodyPr rot="0" spcFirstLastPara="1" vertOverflow="ellipsis" vert="horz" wrap="square" lIns="38100" tIns="19050" rIns="38100" bIns="19050" anchor="ctr" anchorCtr="0">
                  <a:spAutoFit/>
                </a:bodyPr>
                <a:lstStyle/>
                <a:p>
                  <a:pPr algn="ctr" rtl="0">
                    <a:defRPr lang="en-US" sz="900" b="1" i="0" u="none" strike="noStrike" kern="1200" baseline="0">
                      <a:solidFill>
                        <a:sysClr val="windowText" lastClr="000000"/>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024-49FE-B9E2-7010B1BA3BD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dLblPos val="ct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2'!$B$40:$B$41</c:f>
              <c:strCache>
                <c:ptCount val="2"/>
                <c:pt idx="0">
                  <c:v>APS Vejez</c:v>
                </c:pt>
                <c:pt idx="1">
                  <c:v>PGU</c:v>
                </c:pt>
              </c:strCache>
            </c:strRef>
          </c:cat>
          <c:val>
            <c:numRef>
              <c:f>'Figura 2'!$E$40:$E$41</c:f>
              <c:numCache>
                <c:formatCode>_(* #,##0_);_(* \(#,##0\);_(* "-"_);_(@_)</c:formatCode>
                <c:ptCount val="2"/>
                <c:pt idx="0">
                  <c:v>159353</c:v>
                </c:pt>
                <c:pt idx="1">
                  <c:v>2115774</c:v>
                </c:pt>
              </c:numCache>
            </c:numRef>
          </c:val>
          <c:extLst>
            <c:ext xmlns:c16="http://schemas.microsoft.com/office/drawing/2014/chart" uri="{C3380CC4-5D6E-409C-BE32-E72D297353CC}">
              <c16:uniqueId val="{00000004-7024-49FE-B9E2-7010B1BA3BDA}"/>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j-lt"/>
              <a:ea typeface="+mn-ea"/>
              <a:cs typeface="+mn-cs"/>
            </a:defRPr>
          </a:pPr>
          <a:endParaRPr lang="es-CL"/>
        </a:p>
      </c:txPr>
    </c:legend>
    <c:plotVisOnly val="1"/>
    <c:dispBlanksAs val="gap"/>
    <c:showDLblsOverMax val="0"/>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r>
              <a:rPr lang="es-CL" sz="1000">
                <a:latin typeface="+mj-lt"/>
              </a:rPr>
              <a:t>Diciembre 2025</a:t>
            </a: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endParaRPr lang="es-CL"/>
        </a:p>
      </c:txPr>
    </c:title>
    <c:autoTitleDeleted val="0"/>
    <c:plotArea>
      <c:layout/>
      <c:pieChart>
        <c:varyColors val="1"/>
        <c:ser>
          <c:idx val="0"/>
          <c:order val="0"/>
          <c:spPr>
            <a:solidFill>
              <a:schemeClr val="accent4">
                <a:lumMod val="75000"/>
              </a:schemeClr>
            </a:solidFill>
          </c:spPr>
          <c:dPt>
            <c:idx val="0"/>
            <c:bubble3D val="0"/>
            <c:spPr>
              <a:solidFill>
                <a:srgbClr val="0C948A"/>
              </a:solidFill>
              <a:ln w="19050">
                <a:solidFill>
                  <a:schemeClr val="lt1"/>
                </a:solidFill>
              </a:ln>
              <a:effectLst/>
            </c:spPr>
            <c:extLst>
              <c:ext xmlns:c16="http://schemas.microsoft.com/office/drawing/2014/chart" uri="{C3380CC4-5D6E-409C-BE32-E72D297353CC}">
                <c16:uniqueId val="{00000001-3CF4-42F5-B9CB-FD786600426A}"/>
              </c:ext>
            </c:extLst>
          </c:dPt>
          <c:dPt>
            <c:idx val="1"/>
            <c:bubble3D val="0"/>
            <c:spPr>
              <a:solidFill>
                <a:srgbClr val="E7E6E6">
                  <a:lumMod val="75000"/>
                </a:srgbClr>
              </a:solidFill>
              <a:ln w="19050">
                <a:solidFill>
                  <a:schemeClr val="lt1"/>
                </a:solidFill>
              </a:ln>
              <a:effectLst/>
            </c:spPr>
            <c:extLst>
              <c:ext xmlns:c16="http://schemas.microsoft.com/office/drawing/2014/chart" uri="{C3380CC4-5D6E-409C-BE32-E72D297353CC}">
                <c16:uniqueId val="{00000003-3CF4-42F5-B9CB-FD786600426A}"/>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CF4-42F5-B9CB-FD786600426A}"/>
                </c:ext>
              </c:extLst>
            </c:dLbl>
            <c:dLbl>
              <c:idx val="1"/>
              <c:spPr>
                <a:noFill/>
                <a:ln>
                  <a:noFill/>
                </a:ln>
                <a:effectLst/>
              </c:spPr>
              <c:txPr>
                <a:bodyPr rot="0" spcFirstLastPara="1" vertOverflow="ellipsis" vert="horz" wrap="square" lIns="38100" tIns="19050" rIns="38100" bIns="19050" anchor="ctr" anchorCtr="0">
                  <a:spAutoFit/>
                </a:bodyPr>
                <a:lstStyle/>
                <a:p>
                  <a:pPr algn="ctr" rtl="0">
                    <a:defRPr lang="en-US" sz="900" b="1" i="0" u="none" strike="noStrike" kern="1200" baseline="0">
                      <a:solidFill>
                        <a:sysClr val="windowText" lastClr="000000">
                          <a:lumMod val="75000"/>
                          <a:lumOff val="25000"/>
                        </a:sysClr>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CF4-42F5-B9CB-FD786600426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dLblPos val="ct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2'!$B$37:$B$38</c:f>
              <c:strCache>
                <c:ptCount val="2"/>
                <c:pt idx="0">
                  <c:v>PBS Invalidez</c:v>
                </c:pt>
                <c:pt idx="1">
                  <c:v>APS Invalidez</c:v>
                </c:pt>
              </c:strCache>
            </c:strRef>
          </c:cat>
          <c:val>
            <c:numRef>
              <c:f>'Figura 2'!$F$37:$F$38</c:f>
              <c:numCache>
                <c:formatCode>_(* #,##0_);_(* \(#,##0\);_(* "-"_);_(@_)</c:formatCode>
                <c:ptCount val="2"/>
                <c:pt idx="0">
                  <c:v>204470</c:v>
                </c:pt>
                <c:pt idx="1">
                  <c:v>104699</c:v>
                </c:pt>
              </c:numCache>
            </c:numRef>
          </c:val>
          <c:extLst>
            <c:ext xmlns:c16="http://schemas.microsoft.com/office/drawing/2014/chart" uri="{C3380CC4-5D6E-409C-BE32-E72D297353CC}">
              <c16:uniqueId val="{00000004-3CF4-42F5-B9CB-FD786600426A}"/>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j-lt"/>
              <a:ea typeface="+mn-ea"/>
              <a:cs typeface="+mn-cs"/>
            </a:defRPr>
          </a:pPr>
          <a:endParaRPr lang="es-CL"/>
        </a:p>
      </c:txPr>
    </c:legend>
    <c:plotVisOnly val="1"/>
    <c:dispBlanksAs val="gap"/>
    <c:showDLblsOverMax val="0"/>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r>
              <a:rPr lang="es-CL" sz="1000">
                <a:latin typeface="+mj-lt"/>
              </a:rPr>
              <a:t>Diciembre 2025</a:t>
            </a: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j-lt"/>
              <a:ea typeface="+mn-ea"/>
              <a:cs typeface="+mn-cs"/>
            </a:defRPr>
          </a:pPr>
          <a:endParaRPr lang="es-CL"/>
        </a:p>
      </c:txPr>
    </c:title>
    <c:autoTitleDeleted val="0"/>
    <c:plotArea>
      <c:layout/>
      <c:pieChart>
        <c:varyColors val="1"/>
        <c:ser>
          <c:idx val="0"/>
          <c:order val="0"/>
          <c:spPr>
            <a:solidFill>
              <a:schemeClr val="accent4">
                <a:lumMod val="75000"/>
              </a:schemeClr>
            </a:solidFill>
          </c:spPr>
          <c:dPt>
            <c:idx val="0"/>
            <c:bubble3D val="0"/>
            <c:spPr>
              <a:solidFill>
                <a:srgbClr val="2D3D43"/>
              </a:solidFill>
              <a:ln w="19050">
                <a:solidFill>
                  <a:schemeClr val="lt1"/>
                </a:solidFill>
              </a:ln>
              <a:effectLst/>
            </c:spPr>
            <c:extLst>
              <c:ext xmlns:c16="http://schemas.microsoft.com/office/drawing/2014/chart" uri="{C3380CC4-5D6E-409C-BE32-E72D297353CC}">
                <c16:uniqueId val="{00000001-4A1A-45B1-B006-2D1F190262A0}"/>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3-4A1A-45B1-B006-2D1F190262A0}"/>
              </c:ext>
            </c:extLst>
          </c:dPt>
          <c:dLbls>
            <c:dLbl>
              <c:idx val="0"/>
              <c:layout>
                <c:manualLayout>
                  <c:x val="-8.9879367684902581E-2"/>
                  <c:y val="0.1531514546597168"/>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4A1A-45B1-B006-2D1F190262A0}"/>
                </c:ext>
              </c:extLst>
            </c:dLbl>
            <c:dLbl>
              <c:idx val="1"/>
              <c:spPr>
                <a:noFill/>
                <a:ln>
                  <a:noFill/>
                </a:ln>
                <a:effectLst/>
              </c:spPr>
              <c:txPr>
                <a:bodyPr rot="0" spcFirstLastPara="1" vertOverflow="ellipsis" vert="horz" wrap="square" lIns="38100" tIns="19050" rIns="38100" bIns="19050" anchor="ctr" anchorCtr="0">
                  <a:spAutoFit/>
                </a:bodyPr>
                <a:lstStyle/>
                <a:p>
                  <a:pPr algn="ctr" rtl="0">
                    <a:defRPr lang="en-US" sz="900" b="1" i="0" u="none" strike="noStrike" kern="1200" baseline="0">
                      <a:solidFill>
                        <a:sysClr val="windowText" lastClr="000000"/>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4A1A-45B1-B006-2D1F190262A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dLblPos val="ct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2'!$B$40:$B$41</c:f>
              <c:strCache>
                <c:ptCount val="2"/>
                <c:pt idx="0">
                  <c:v>APS Vejez</c:v>
                </c:pt>
                <c:pt idx="1">
                  <c:v>PGU</c:v>
                </c:pt>
              </c:strCache>
            </c:strRef>
          </c:cat>
          <c:val>
            <c:numRef>
              <c:f>'Figura 2'!$F$40:$F$41</c:f>
              <c:numCache>
                <c:formatCode>_(* #,##0_);_(* \(#,##0\);_(* "-"_);_(@_)</c:formatCode>
                <c:ptCount val="2"/>
                <c:pt idx="0">
                  <c:v>153457</c:v>
                </c:pt>
                <c:pt idx="1">
                  <c:v>2243121</c:v>
                </c:pt>
              </c:numCache>
            </c:numRef>
          </c:val>
          <c:extLst>
            <c:ext xmlns:c16="http://schemas.microsoft.com/office/drawing/2014/chart" uri="{C3380CC4-5D6E-409C-BE32-E72D297353CC}">
              <c16:uniqueId val="{00000004-4A1A-45B1-B006-2D1F190262A0}"/>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j-lt"/>
              <a:ea typeface="+mn-ea"/>
              <a:cs typeface="+mn-cs"/>
            </a:defRPr>
          </a:pPr>
          <a:endParaRPr lang="es-CL"/>
        </a:p>
      </c:txPr>
    </c:legend>
    <c:plotVisOnly val="1"/>
    <c:dispBlanksAs val="gap"/>
    <c:showDLblsOverMax val="0"/>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'Figura 2'!$H$45</c:f>
              <c:strCache>
                <c:ptCount val="1"/>
                <c:pt idx="0">
                  <c:v>Invalidez</c:v>
                </c:pt>
              </c:strCache>
            </c:strRef>
          </c:tx>
          <c:spPr>
            <a:solidFill>
              <a:srgbClr val="FD625E"/>
            </a:solidFill>
            <a:ln>
              <a:noFill/>
            </a:ln>
            <a:effectLst/>
          </c:spPr>
          <c:invertIfNegative val="0"/>
          <c:cat>
            <c:numRef>
              <c:f>'Figura 2'!$B$46:$B$63</c:f>
              <c:numCache>
                <c:formatCode>mmm\-yy</c:formatCode>
                <c:ptCount val="18"/>
                <c:pt idx="0">
                  <c:v>39783</c:v>
                </c:pt>
                <c:pt idx="1">
                  <c:v>40148</c:v>
                </c:pt>
                <c:pt idx="2">
                  <c:v>40513</c:v>
                </c:pt>
                <c:pt idx="3">
                  <c:v>40878</c:v>
                </c:pt>
                <c:pt idx="4">
                  <c:v>41244</c:v>
                </c:pt>
                <c:pt idx="5">
                  <c:v>41609</c:v>
                </c:pt>
                <c:pt idx="6">
                  <c:v>41974</c:v>
                </c:pt>
                <c:pt idx="7">
                  <c:v>42339</c:v>
                </c:pt>
                <c:pt idx="8">
                  <c:v>42705</c:v>
                </c:pt>
                <c:pt idx="9">
                  <c:v>43070</c:v>
                </c:pt>
                <c:pt idx="10">
                  <c:v>43435</c:v>
                </c:pt>
                <c:pt idx="11">
                  <c:v>43800</c:v>
                </c:pt>
                <c:pt idx="12">
                  <c:v>44166</c:v>
                </c:pt>
                <c:pt idx="13">
                  <c:v>44531</c:v>
                </c:pt>
                <c:pt idx="14">
                  <c:v>44896</c:v>
                </c:pt>
                <c:pt idx="15">
                  <c:v>45261</c:v>
                </c:pt>
                <c:pt idx="16">
                  <c:v>45627</c:v>
                </c:pt>
                <c:pt idx="17">
                  <c:v>45992</c:v>
                </c:pt>
              </c:numCache>
            </c:numRef>
          </c:cat>
          <c:val>
            <c:numRef>
              <c:f>'Figura 2'!$H$46:$H$63</c:f>
              <c:numCache>
                <c:formatCode>_(* #,##0_);_(* \(#,##0\);_(* "-"_);_(@_)</c:formatCode>
                <c:ptCount val="18"/>
                <c:pt idx="0">
                  <c:v>195151</c:v>
                </c:pt>
                <c:pt idx="1">
                  <c:v>220971</c:v>
                </c:pt>
                <c:pt idx="2">
                  <c:v>233761</c:v>
                </c:pt>
                <c:pt idx="3">
                  <c:v>239705</c:v>
                </c:pt>
                <c:pt idx="4">
                  <c:v>235018</c:v>
                </c:pt>
                <c:pt idx="5">
                  <c:v>241257</c:v>
                </c:pt>
                <c:pt idx="6">
                  <c:v>244227</c:v>
                </c:pt>
                <c:pt idx="7">
                  <c:v>244905</c:v>
                </c:pt>
                <c:pt idx="8">
                  <c:v>246204</c:v>
                </c:pt>
                <c:pt idx="9">
                  <c:v>246745</c:v>
                </c:pt>
                <c:pt idx="10">
                  <c:v>249813</c:v>
                </c:pt>
                <c:pt idx="11">
                  <c:v>250289</c:v>
                </c:pt>
                <c:pt idx="12">
                  <c:v>253870</c:v>
                </c:pt>
                <c:pt idx="13">
                  <c:v>266837</c:v>
                </c:pt>
                <c:pt idx="14">
                  <c:v>278282</c:v>
                </c:pt>
                <c:pt idx="15">
                  <c:v>290374</c:v>
                </c:pt>
                <c:pt idx="16">
                  <c:v>300506</c:v>
                </c:pt>
                <c:pt idx="17">
                  <c:v>309169</c:v>
                </c:pt>
              </c:numCache>
            </c:numRef>
          </c:val>
          <c:extLst>
            <c:ext xmlns:c16="http://schemas.microsoft.com/office/drawing/2014/chart" uri="{C3380CC4-5D6E-409C-BE32-E72D297353CC}">
              <c16:uniqueId val="{00000000-F697-4238-862C-0B43DF237212}"/>
            </c:ext>
          </c:extLst>
        </c:ser>
        <c:ser>
          <c:idx val="1"/>
          <c:order val="1"/>
          <c:tx>
            <c:strRef>
              <c:f>'Figura 2'!$I$45</c:f>
              <c:strCache>
                <c:ptCount val="1"/>
                <c:pt idx="0">
                  <c:v>Vejez</c:v>
                </c:pt>
              </c:strCache>
            </c:strRef>
          </c:tx>
          <c:spPr>
            <a:solidFill>
              <a:srgbClr val="2D3D43"/>
            </a:solidFill>
            <a:ln>
              <a:noFill/>
            </a:ln>
            <a:effectLst/>
          </c:spPr>
          <c:invertIfNegative val="0"/>
          <c:cat>
            <c:numRef>
              <c:f>'Figura 2'!$B$46:$B$63</c:f>
              <c:numCache>
                <c:formatCode>mmm\-yy</c:formatCode>
                <c:ptCount val="18"/>
                <c:pt idx="0">
                  <c:v>39783</c:v>
                </c:pt>
                <c:pt idx="1">
                  <c:v>40148</c:v>
                </c:pt>
                <c:pt idx="2">
                  <c:v>40513</c:v>
                </c:pt>
                <c:pt idx="3">
                  <c:v>40878</c:v>
                </c:pt>
                <c:pt idx="4">
                  <c:v>41244</c:v>
                </c:pt>
                <c:pt idx="5">
                  <c:v>41609</c:v>
                </c:pt>
                <c:pt idx="6">
                  <c:v>41974</c:v>
                </c:pt>
                <c:pt idx="7">
                  <c:v>42339</c:v>
                </c:pt>
                <c:pt idx="8">
                  <c:v>42705</c:v>
                </c:pt>
                <c:pt idx="9">
                  <c:v>43070</c:v>
                </c:pt>
                <c:pt idx="10">
                  <c:v>43435</c:v>
                </c:pt>
                <c:pt idx="11">
                  <c:v>43800</c:v>
                </c:pt>
                <c:pt idx="12">
                  <c:v>44166</c:v>
                </c:pt>
                <c:pt idx="13">
                  <c:v>44531</c:v>
                </c:pt>
                <c:pt idx="14">
                  <c:v>44896</c:v>
                </c:pt>
                <c:pt idx="15">
                  <c:v>45261</c:v>
                </c:pt>
                <c:pt idx="16">
                  <c:v>45627</c:v>
                </c:pt>
                <c:pt idx="17">
                  <c:v>45992</c:v>
                </c:pt>
              </c:numCache>
            </c:numRef>
          </c:cat>
          <c:val>
            <c:numRef>
              <c:f>'Figura 2'!$I$46:$I$63</c:f>
              <c:numCache>
                <c:formatCode>_(* #,##0_);_(* \(#,##0\);_(* "-"_);_(@_)</c:formatCode>
                <c:ptCount val="18"/>
                <c:pt idx="0">
                  <c:v>362930</c:v>
                </c:pt>
                <c:pt idx="1">
                  <c:v>636806</c:v>
                </c:pt>
                <c:pt idx="2">
                  <c:v>777334</c:v>
                </c:pt>
                <c:pt idx="3">
                  <c:v>841907</c:v>
                </c:pt>
                <c:pt idx="4">
                  <c:v>946011</c:v>
                </c:pt>
                <c:pt idx="5">
                  <c:v>987651</c:v>
                </c:pt>
                <c:pt idx="6">
                  <c:v>1037401</c:v>
                </c:pt>
                <c:pt idx="7">
                  <c:v>1086003</c:v>
                </c:pt>
                <c:pt idx="8">
                  <c:v>1124405</c:v>
                </c:pt>
                <c:pt idx="9">
                  <c:v>1173593</c:v>
                </c:pt>
                <c:pt idx="10">
                  <c:v>1257779</c:v>
                </c:pt>
                <c:pt idx="11">
                  <c:v>1321095</c:v>
                </c:pt>
                <c:pt idx="12">
                  <c:v>1442064</c:v>
                </c:pt>
                <c:pt idx="13">
                  <c:v>1561126</c:v>
                </c:pt>
                <c:pt idx="14">
                  <c:v>1939896</c:v>
                </c:pt>
                <c:pt idx="15">
                  <c:v>2146885</c:v>
                </c:pt>
                <c:pt idx="16">
                  <c:v>2275127</c:v>
                </c:pt>
                <c:pt idx="17">
                  <c:v>2396578</c:v>
                </c:pt>
              </c:numCache>
            </c:numRef>
          </c:val>
          <c:extLst>
            <c:ext xmlns:c16="http://schemas.microsoft.com/office/drawing/2014/chart" uri="{C3380CC4-5D6E-409C-BE32-E72D297353CC}">
              <c16:uniqueId val="{00000001-F697-4238-862C-0B43DF237212}"/>
            </c:ext>
          </c:extLst>
        </c:ser>
        <c:dLbls>
          <c:showLegendKey val="0"/>
          <c:showVal val="0"/>
          <c:showCatName val="0"/>
          <c:showSerName val="0"/>
          <c:showPercent val="0"/>
          <c:showBubbleSize val="0"/>
        </c:dLbls>
        <c:gapWidth val="110"/>
        <c:overlap val="-27"/>
        <c:axId val="1163403208"/>
        <c:axId val="1163402848"/>
      </c:barChart>
      <c:catAx>
        <c:axId val="116340320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63402848"/>
        <c:crosses val="autoZero"/>
        <c:auto val="0"/>
        <c:lblAlgn val="ctr"/>
        <c:lblOffset val="100"/>
        <c:noMultiLvlLbl val="0"/>
      </c:catAx>
      <c:valAx>
        <c:axId val="116340284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63403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sz="1000">
                <a:latin typeface="Calibri Light" panose="020F0302020204030204" pitchFamily="34" charset="0"/>
                <a:cs typeface="Calibri Light" panose="020F0302020204030204" pitchFamily="34" charset="0"/>
              </a:rPr>
              <a:t>APS invalidez</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pieChart>
        <c:varyColors val="1"/>
        <c:ser>
          <c:idx val="0"/>
          <c:order val="0"/>
          <c:spPr>
            <a:solidFill>
              <a:srgbClr val="FFC000"/>
            </a:solidFill>
          </c:spPr>
          <c:dPt>
            <c:idx val="0"/>
            <c:bubble3D val="0"/>
            <c:explosion val="4"/>
            <c:spPr>
              <a:solidFill>
                <a:srgbClr val="2D3D43"/>
              </a:solidFill>
              <a:ln>
                <a:noFill/>
              </a:ln>
              <a:effectLst/>
            </c:spPr>
            <c:extLst>
              <c:ext xmlns:c16="http://schemas.microsoft.com/office/drawing/2014/chart" uri="{C3380CC4-5D6E-409C-BE32-E72D297353CC}">
                <c16:uniqueId val="{00000001-0426-4381-A45A-494A2D0835F5}"/>
              </c:ext>
            </c:extLst>
          </c:dPt>
          <c:dPt>
            <c:idx val="1"/>
            <c:bubble3D val="0"/>
            <c:spPr>
              <a:solidFill>
                <a:srgbClr val="FD625E"/>
              </a:solidFill>
              <a:ln>
                <a:noFill/>
              </a:ln>
              <a:effectLst/>
            </c:spPr>
            <c:extLst>
              <c:ext xmlns:c16="http://schemas.microsoft.com/office/drawing/2014/chart" uri="{C3380CC4-5D6E-409C-BE32-E72D297353CC}">
                <c16:uniqueId val="{00000003-0426-4381-A45A-494A2D0835F5}"/>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dLblPos val="ct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426-4381-A45A-494A2D0835F5}"/>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L"/>
              </a:p>
            </c:txPr>
            <c:dLblPos val="ct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3'!$E$27:$F$27</c:f>
              <c:strCache>
                <c:ptCount val="2"/>
                <c:pt idx="0">
                  <c:v>Hombres</c:v>
                </c:pt>
                <c:pt idx="1">
                  <c:v>Mujeres</c:v>
                </c:pt>
              </c:strCache>
            </c:strRef>
          </c:cat>
          <c:val>
            <c:numRef>
              <c:f>'Figura 3'!$E$44:$F$44</c:f>
              <c:numCache>
                <c:formatCode>_-* #,##0_-;\-* #,##0_-;_-* "-"??_-;_-@_-</c:formatCode>
                <c:ptCount val="2"/>
                <c:pt idx="0">
                  <c:v>52224</c:v>
                </c:pt>
                <c:pt idx="1">
                  <c:v>48256</c:v>
                </c:pt>
              </c:numCache>
            </c:numRef>
          </c:val>
          <c:extLst>
            <c:ext xmlns:c16="http://schemas.microsoft.com/office/drawing/2014/chart" uri="{C3380CC4-5D6E-409C-BE32-E72D297353CC}">
              <c16:uniqueId val="{00000004-0426-4381-A45A-494A2D0835F5}"/>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alibri Light" panose="020F0302020204030204" pitchFamily="34" charset="0"/>
              <a:ea typeface="+mn-ea"/>
              <a:cs typeface="Calibri Light" panose="020F0302020204030204" pitchFamily="34" charset="0"/>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withinLinearReversed" id="23">
  <a:schemeClr val="accent3"/>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205;NDICE!A1"/></Relationships>
</file>

<file path=xl/drawings/_rels/drawing10.xml.rels><?xml version="1.0" encoding="UTF-8" standalone="yes"?>
<Relationships xmlns="http://schemas.openxmlformats.org/package/2006/relationships"><Relationship Id="rId1" Type="http://schemas.openxmlformats.org/officeDocument/2006/relationships/hyperlink" Target="#&#205;NDICE!A1"/></Relationships>
</file>

<file path=xl/drawings/_rels/drawing11.xml.rels><?xml version="1.0" encoding="UTF-8" standalone="yes"?>
<Relationships xmlns="http://schemas.openxmlformats.org/package/2006/relationships"><Relationship Id="rId1" Type="http://schemas.openxmlformats.org/officeDocument/2006/relationships/hyperlink" Target="#'&#205;ndice de tablas y figuras'!A1"/></Relationships>
</file>

<file path=xl/drawings/_rels/drawing12.xml.rels><?xml version="1.0" encoding="UTF-8" standalone="yes"?>
<Relationships xmlns="http://schemas.openxmlformats.org/package/2006/relationships"><Relationship Id="rId1" Type="http://schemas.openxmlformats.org/officeDocument/2006/relationships/hyperlink" Target="#'&#205;ndice de tablas y figuras'!A1"/></Relationships>
</file>

<file path=xl/drawings/_rels/drawing13.xml.rels><?xml version="1.0" encoding="UTF-8" standalone="yes"?>
<Relationships xmlns="http://schemas.openxmlformats.org/package/2006/relationships"><Relationship Id="rId1" Type="http://schemas.openxmlformats.org/officeDocument/2006/relationships/hyperlink" Target="#'&#205;ndice de tablas y figuras'!A1"/></Relationships>
</file>

<file path=xl/drawings/_rels/drawing14.xml.rels><?xml version="1.0" encoding="UTF-8" standalone="yes"?>
<Relationships xmlns="http://schemas.openxmlformats.org/package/2006/relationships"><Relationship Id="rId1" Type="http://schemas.openxmlformats.org/officeDocument/2006/relationships/hyperlink" Target="#'&#205;ndice de tablas y figuras'!A1"/></Relationships>
</file>

<file path=xl/drawings/_rels/drawing15.xml.rels><?xml version="1.0" encoding="UTF-8" standalone="yes"?>
<Relationships xmlns="http://schemas.openxmlformats.org/package/2006/relationships"><Relationship Id="rId1" Type="http://schemas.openxmlformats.org/officeDocument/2006/relationships/hyperlink" Target="#&#205;NDICE!A1"/></Relationships>
</file>

<file path=xl/drawings/_rels/drawing16.xml.rels><?xml version="1.0" encoding="UTF-8" standalone="yes"?>
<Relationships xmlns="http://schemas.openxmlformats.org/package/2006/relationships"><Relationship Id="rId1" Type="http://schemas.openxmlformats.org/officeDocument/2006/relationships/hyperlink" Target="#&#205;NDICE!A1"/></Relationships>
</file>

<file path=xl/drawings/_rels/drawing17.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hyperlink" Target="#&#205;NDICE!A1"/></Relationships>
</file>

<file path=xl/drawings/_rels/drawing18.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hyperlink" Target="#&#205;NDICE!A1"/><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19.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hyperlink" Target="#&#205;NDICE!A1"/><Relationship Id="rId5" Type="http://schemas.openxmlformats.org/officeDocument/2006/relationships/chart" Target="../charts/chart12.xml"/><Relationship Id="rId4"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1" Type="http://schemas.openxmlformats.org/officeDocument/2006/relationships/hyperlink" Target="#&#205;NDICE!A1"/></Relationships>
</file>

<file path=xl/drawings/_rels/drawing20.xml.rels><?xml version="1.0" encoding="UTF-8" standalone="yes"?>
<Relationships xmlns="http://schemas.openxmlformats.org/package/2006/relationships"><Relationship Id="rId2" Type="http://schemas.openxmlformats.org/officeDocument/2006/relationships/hyperlink" Target="#&#205;NDICE!A1"/><Relationship Id="rId1" Type="http://schemas.openxmlformats.org/officeDocument/2006/relationships/chart" Target="../charts/chart13.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hyperlink" Target="#&#205;NDICE!A1"/></Relationships>
</file>

<file path=xl/drawings/_rels/drawing22.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hyperlink" Target="#&#205;NDICE!A1"/></Relationships>
</file>

<file path=xl/drawings/_rels/drawing23.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hyperlink" Target="#&#205;NDICE!A1"/></Relationships>
</file>

<file path=xl/drawings/_rels/drawing24.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hyperlink" Target="#&#205;NDICE!A1"/></Relationships>
</file>

<file path=xl/drawings/_rels/drawing25.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chart" Target="../charts/chart19.xml"/><Relationship Id="rId1" Type="http://schemas.openxmlformats.org/officeDocument/2006/relationships/chart" Target="../charts/chart18.xml"/></Relationships>
</file>

<file path=xl/drawings/_rels/drawing26.xml.rels><?xml version="1.0" encoding="UTF-8" standalone="yes"?>
<Relationships xmlns="http://schemas.openxmlformats.org/package/2006/relationships"><Relationship Id="rId2" Type="http://schemas.openxmlformats.org/officeDocument/2006/relationships/hyperlink" Target="#&#205;NDICE!A1"/><Relationship Id="rId1" Type="http://schemas.openxmlformats.org/officeDocument/2006/relationships/chart" Target="../charts/chart20.xml"/></Relationships>
</file>

<file path=xl/drawings/_rels/drawing27.xml.rels><?xml version="1.0" encoding="UTF-8" standalone="yes"?>
<Relationships xmlns="http://schemas.openxmlformats.org/package/2006/relationships"><Relationship Id="rId2" Type="http://schemas.openxmlformats.org/officeDocument/2006/relationships/hyperlink" Target="#'&#205;ndice de tablas y figuras'!A1"/><Relationship Id="rId1" Type="http://schemas.openxmlformats.org/officeDocument/2006/relationships/chart" Target="../charts/chart21.xml"/></Relationships>
</file>

<file path=xl/drawings/_rels/drawing28.xml.rels><?xml version="1.0" encoding="UTF-8" standalone="yes"?>
<Relationships xmlns="http://schemas.openxmlformats.org/package/2006/relationships"><Relationship Id="rId2" Type="http://schemas.openxmlformats.org/officeDocument/2006/relationships/hyperlink" Target="#'&#205;ndice de tablas y figuras'!A1"/><Relationship Id="rId1" Type="http://schemas.openxmlformats.org/officeDocument/2006/relationships/chart" Target="../charts/chart22.xml"/></Relationships>
</file>

<file path=xl/drawings/_rels/drawing29.xml.rels><?xml version="1.0" encoding="UTF-8" standalone="yes"?>
<Relationships xmlns="http://schemas.openxmlformats.org/package/2006/relationships"><Relationship Id="rId2" Type="http://schemas.openxmlformats.org/officeDocument/2006/relationships/hyperlink" Target="#'&#205;ndice de tablas y figuras'!A1"/><Relationship Id="rId1" Type="http://schemas.openxmlformats.org/officeDocument/2006/relationships/chart" Target="../charts/chart23.xml"/></Relationships>
</file>

<file path=xl/drawings/_rels/drawing3.xml.rels><?xml version="1.0" encoding="UTF-8" standalone="yes"?>
<Relationships xmlns="http://schemas.openxmlformats.org/package/2006/relationships"><Relationship Id="rId1" Type="http://schemas.openxmlformats.org/officeDocument/2006/relationships/hyperlink" Target="#&#205;NDICE!A1"/></Relationships>
</file>

<file path=xl/drawings/_rels/drawing30.xml.rels><?xml version="1.0" encoding="UTF-8" standalone="yes"?>
<Relationships xmlns="http://schemas.openxmlformats.org/package/2006/relationships"><Relationship Id="rId2" Type="http://schemas.openxmlformats.org/officeDocument/2006/relationships/hyperlink" Target="#'&#205;ndice de tablas y figuras'!A1"/><Relationship Id="rId1" Type="http://schemas.openxmlformats.org/officeDocument/2006/relationships/chart" Target="../charts/chart24.xml"/></Relationships>
</file>

<file path=xl/drawings/_rels/drawing31.xml.rels><?xml version="1.0" encoding="UTF-8" standalone="yes"?>
<Relationships xmlns="http://schemas.openxmlformats.org/package/2006/relationships"><Relationship Id="rId2" Type="http://schemas.openxmlformats.org/officeDocument/2006/relationships/hyperlink" Target="#'&#205;ndice de tablas y figuras'!A1"/><Relationship Id="rId1" Type="http://schemas.openxmlformats.org/officeDocument/2006/relationships/chart" Target="../charts/chart25.xml"/></Relationships>
</file>

<file path=xl/drawings/_rels/drawing32.xml.rels><?xml version="1.0" encoding="UTF-8" standalone="yes"?>
<Relationships xmlns="http://schemas.openxmlformats.org/package/2006/relationships"><Relationship Id="rId2" Type="http://schemas.openxmlformats.org/officeDocument/2006/relationships/hyperlink" Target="#'&#205;ndice de tablas y figuras'!A1"/><Relationship Id="rId1" Type="http://schemas.openxmlformats.org/officeDocument/2006/relationships/chart" Target="../charts/chart26.xml"/></Relationships>
</file>

<file path=xl/drawings/_rels/drawing33.xml.rels><?xml version="1.0" encoding="UTF-8" standalone="yes"?>
<Relationships xmlns="http://schemas.openxmlformats.org/package/2006/relationships"><Relationship Id="rId3" Type="http://schemas.openxmlformats.org/officeDocument/2006/relationships/hyperlink" Target="#'&#205;ndice de tablas y figuras'!A1"/><Relationship Id="rId2" Type="http://schemas.openxmlformats.org/officeDocument/2006/relationships/chart" Target="../charts/chart28.xml"/><Relationship Id="rId1" Type="http://schemas.openxmlformats.org/officeDocument/2006/relationships/chart" Target="../charts/chart27.xml"/></Relationships>
</file>

<file path=xl/drawings/_rels/drawing34.xml.rels><?xml version="1.0" encoding="UTF-8" standalone="yes"?>
<Relationships xmlns="http://schemas.openxmlformats.org/package/2006/relationships"><Relationship Id="rId3" Type="http://schemas.openxmlformats.org/officeDocument/2006/relationships/hyperlink" Target="#'&#205;ndice de tablas y figuras'!A1"/><Relationship Id="rId2" Type="http://schemas.openxmlformats.org/officeDocument/2006/relationships/chart" Target="../charts/chart30.xml"/><Relationship Id="rId1" Type="http://schemas.openxmlformats.org/officeDocument/2006/relationships/chart" Target="../charts/chart29.xml"/></Relationships>
</file>

<file path=xl/drawings/_rels/drawing35.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 Id="rId4" Type="http://schemas.openxmlformats.org/officeDocument/2006/relationships/hyperlink" Target="#'&#205;ndice de tablas y figuras'!A1"/></Relationships>
</file>

<file path=xl/drawings/_rels/drawing36.xml.rels><?xml version="1.0" encoding="UTF-8" standalone="yes"?>
<Relationships xmlns="http://schemas.openxmlformats.org/package/2006/relationships"><Relationship Id="rId3" Type="http://schemas.openxmlformats.org/officeDocument/2006/relationships/chart" Target="../charts/chart36.xml"/><Relationship Id="rId2" Type="http://schemas.openxmlformats.org/officeDocument/2006/relationships/chart" Target="../charts/chart35.xml"/><Relationship Id="rId1" Type="http://schemas.openxmlformats.org/officeDocument/2006/relationships/chart" Target="../charts/chart34.xml"/><Relationship Id="rId4" Type="http://schemas.openxmlformats.org/officeDocument/2006/relationships/hyperlink" Target="#'&#205;ndice de tablas y figuras'!A1"/></Relationships>
</file>

<file path=xl/drawings/_rels/drawing37.xml.rels><?xml version="1.0" encoding="UTF-8" standalone="yes"?>
<Relationships xmlns="http://schemas.openxmlformats.org/package/2006/relationships"><Relationship Id="rId2" Type="http://schemas.openxmlformats.org/officeDocument/2006/relationships/hyperlink" Target="#'&#205;ndice de tablas y figuras'!A1"/><Relationship Id="rId1" Type="http://schemas.openxmlformats.org/officeDocument/2006/relationships/chart" Target="../charts/chart37.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38.xml"/></Relationships>
</file>

<file path=xl/drawings/_rels/drawing4.xml.rels><?xml version="1.0" encoding="UTF-8" standalone="yes"?>
<Relationships xmlns="http://schemas.openxmlformats.org/package/2006/relationships"><Relationship Id="rId1" Type="http://schemas.openxmlformats.org/officeDocument/2006/relationships/hyperlink" Target="#&#205;NDICE!A1"/></Relationships>
</file>

<file path=xl/drawings/_rels/drawing5.xml.rels><?xml version="1.0" encoding="UTF-8" standalone="yes"?>
<Relationships xmlns="http://schemas.openxmlformats.org/package/2006/relationships"><Relationship Id="rId1" Type="http://schemas.openxmlformats.org/officeDocument/2006/relationships/hyperlink" Target="#&#205;NDICE!A1"/></Relationships>
</file>

<file path=xl/drawings/_rels/drawing6.xml.rels><?xml version="1.0" encoding="UTF-8" standalone="yes"?>
<Relationships xmlns="http://schemas.openxmlformats.org/package/2006/relationships"><Relationship Id="rId1" Type="http://schemas.openxmlformats.org/officeDocument/2006/relationships/hyperlink" Target="#&#205;NDICE!A1"/></Relationships>
</file>

<file path=xl/drawings/_rels/drawing7.xml.rels><?xml version="1.0" encoding="UTF-8" standalone="yes"?>
<Relationships xmlns="http://schemas.openxmlformats.org/package/2006/relationships"><Relationship Id="rId1" Type="http://schemas.openxmlformats.org/officeDocument/2006/relationships/hyperlink" Target="#&#205;NDICE!A1"/></Relationships>
</file>

<file path=xl/drawings/_rels/drawing8.xml.rels><?xml version="1.0" encoding="UTF-8" standalone="yes"?>
<Relationships xmlns="http://schemas.openxmlformats.org/package/2006/relationships"><Relationship Id="rId1" Type="http://schemas.openxmlformats.org/officeDocument/2006/relationships/hyperlink" Target="#&#205;NDICE!A1"/></Relationships>
</file>

<file path=xl/drawings/_rels/drawing9.xml.rels><?xml version="1.0" encoding="UTF-8" standalone="yes"?>
<Relationships xmlns="http://schemas.openxmlformats.org/package/2006/relationships"><Relationship Id="rId1" Type="http://schemas.openxmlformats.org/officeDocument/2006/relationships/hyperlink" Target="#&#205;NDICE!A1"/></Relationships>
</file>

<file path=xl/drawings/drawing1.xml><?xml version="1.0" encoding="utf-8"?>
<xdr:wsDr xmlns:xdr="http://schemas.openxmlformats.org/drawingml/2006/spreadsheetDrawing" xmlns:a="http://schemas.openxmlformats.org/drawingml/2006/main">
  <xdr:twoCellAnchor>
    <xdr:from>
      <xdr:col>14</xdr:col>
      <xdr:colOff>0</xdr:colOff>
      <xdr:row>2</xdr:row>
      <xdr:rowOff>0</xdr:rowOff>
    </xdr:from>
    <xdr:to>
      <xdr:col>16</xdr:col>
      <xdr:colOff>61913</xdr:colOff>
      <xdr:row>3</xdr:row>
      <xdr:rowOff>2381</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A0487F2C-119E-4D06-B332-68DE43E03695}"/>
            </a:ext>
          </a:extLst>
        </xdr:cNvPr>
        <xdr:cNvSpPr/>
      </xdr:nvSpPr>
      <xdr:spPr>
        <a:xfrm>
          <a:off x="10302240" y="182880"/>
          <a:ext cx="1646873" cy="253841"/>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238125</xdr:colOff>
      <xdr:row>1</xdr:row>
      <xdr:rowOff>107950</xdr:rowOff>
    </xdr:from>
    <xdr:to>
      <xdr:col>12</xdr:col>
      <xdr:colOff>300038</xdr:colOff>
      <xdr:row>1</xdr:row>
      <xdr:rowOff>324556</xdr:rowOff>
    </xdr:to>
    <xdr:sp macro="" textlink="">
      <xdr:nvSpPr>
        <xdr:cNvPr id="4" name="Rectángulo: esquinas redondeadas 1">
          <a:hlinkClick xmlns:r="http://schemas.openxmlformats.org/officeDocument/2006/relationships" r:id="rId1"/>
          <a:extLst>
            <a:ext uri="{FF2B5EF4-FFF2-40B4-BE49-F238E27FC236}">
              <a16:creationId xmlns:a16="http://schemas.microsoft.com/office/drawing/2014/main" id="{C9730E93-E0FC-488D-BD66-0641D3F51113}"/>
            </a:ext>
          </a:extLst>
        </xdr:cNvPr>
        <xdr:cNvSpPr/>
      </xdr:nvSpPr>
      <xdr:spPr>
        <a:xfrm>
          <a:off x="7159625" y="291394"/>
          <a:ext cx="1585913" cy="21660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233680</xdr:colOff>
      <xdr:row>1</xdr:row>
      <xdr:rowOff>181610</xdr:rowOff>
    </xdr:from>
    <xdr:to>
      <xdr:col>13</xdr:col>
      <xdr:colOff>295593</xdr:colOff>
      <xdr:row>2</xdr:row>
      <xdr:rowOff>215336</xdr:rowOff>
    </xdr:to>
    <xdr:sp macro="" textlink="">
      <xdr:nvSpPr>
        <xdr:cNvPr id="6" name="Rectángulo: esquinas redondeadas 1">
          <a:hlinkClick xmlns:r="http://schemas.openxmlformats.org/officeDocument/2006/relationships" r:id="rId1"/>
          <a:extLst>
            <a:ext uri="{FF2B5EF4-FFF2-40B4-BE49-F238E27FC236}">
              <a16:creationId xmlns:a16="http://schemas.microsoft.com/office/drawing/2014/main" id="{0CAC8A94-D2C9-B515-069C-6626341E1F51}"/>
            </a:ext>
          </a:extLst>
        </xdr:cNvPr>
        <xdr:cNvSpPr/>
      </xdr:nvSpPr>
      <xdr:spPr>
        <a:xfrm>
          <a:off x="9027160" y="364490"/>
          <a:ext cx="1646873" cy="21660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267264</xdr:colOff>
      <xdr:row>1</xdr:row>
      <xdr:rowOff>113735</xdr:rowOff>
    </xdr:from>
    <xdr:to>
      <xdr:col>17</xdr:col>
      <xdr:colOff>329177</xdr:colOff>
      <xdr:row>2</xdr:row>
      <xdr:rowOff>147461</xdr:rowOff>
    </xdr:to>
    <xdr:sp macro="" textlink="">
      <xdr:nvSpPr>
        <xdr:cNvPr id="3" name="Rectángulo: esquinas redondeadas 1">
          <a:hlinkClick xmlns:r="http://schemas.openxmlformats.org/officeDocument/2006/relationships" r:id="rId1"/>
          <a:extLst>
            <a:ext uri="{FF2B5EF4-FFF2-40B4-BE49-F238E27FC236}">
              <a16:creationId xmlns:a16="http://schemas.microsoft.com/office/drawing/2014/main" id="{3F14ACCE-AAC5-40BB-B888-38D723001F79}"/>
            </a:ext>
          </a:extLst>
        </xdr:cNvPr>
        <xdr:cNvSpPr/>
      </xdr:nvSpPr>
      <xdr:spPr>
        <a:xfrm>
          <a:off x="8466384" y="296615"/>
          <a:ext cx="1646873" cy="21660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275166</xdr:colOff>
      <xdr:row>3</xdr:row>
      <xdr:rowOff>35278</xdr:rowOff>
    </xdr:from>
    <xdr:to>
      <xdr:col>10</xdr:col>
      <xdr:colOff>351190</xdr:colOff>
      <xdr:row>4</xdr:row>
      <xdr:rowOff>61384</xdr:rowOff>
    </xdr:to>
    <xdr:sp macro="" textlink="">
      <xdr:nvSpPr>
        <xdr:cNvPr id="3" name="Rectángulo: esquinas redondeadas 1">
          <a:hlinkClick xmlns:r="http://schemas.openxmlformats.org/officeDocument/2006/relationships" r:id="rId1"/>
          <a:extLst>
            <a:ext uri="{FF2B5EF4-FFF2-40B4-BE49-F238E27FC236}">
              <a16:creationId xmlns:a16="http://schemas.microsoft.com/office/drawing/2014/main" id="{E52FA8A1-FE9E-4FB5-952F-46F492E58028}"/>
            </a:ext>
          </a:extLst>
        </xdr:cNvPr>
        <xdr:cNvSpPr/>
      </xdr:nvSpPr>
      <xdr:spPr>
        <a:xfrm>
          <a:off x="4325055" y="225778"/>
          <a:ext cx="1585913" cy="21660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xdr:col>
      <xdr:colOff>256822</xdr:colOff>
      <xdr:row>2</xdr:row>
      <xdr:rowOff>163690</xdr:rowOff>
    </xdr:from>
    <xdr:to>
      <xdr:col>11</xdr:col>
      <xdr:colOff>399169</xdr:colOff>
      <xdr:row>3</xdr:row>
      <xdr:rowOff>189795</xdr:rowOff>
    </xdr:to>
    <xdr:sp macro="" textlink="">
      <xdr:nvSpPr>
        <xdr:cNvPr id="3" name="Rectángulo: esquinas redondeadas 1">
          <a:hlinkClick xmlns:r="http://schemas.openxmlformats.org/officeDocument/2006/relationships" r:id="rId1"/>
          <a:extLst>
            <a:ext uri="{FF2B5EF4-FFF2-40B4-BE49-F238E27FC236}">
              <a16:creationId xmlns:a16="http://schemas.microsoft.com/office/drawing/2014/main" id="{D52383CF-3210-426E-8AF9-70D2F0F901F3}"/>
            </a:ext>
          </a:extLst>
        </xdr:cNvPr>
        <xdr:cNvSpPr/>
      </xdr:nvSpPr>
      <xdr:spPr>
        <a:xfrm>
          <a:off x="6683022" y="536223"/>
          <a:ext cx="1556280" cy="220839"/>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0</xdr:colOff>
      <xdr:row>2</xdr:row>
      <xdr:rowOff>0</xdr:rowOff>
    </xdr:from>
    <xdr:to>
      <xdr:col>9</xdr:col>
      <xdr:colOff>61913</xdr:colOff>
      <xdr:row>2</xdr:row>
      <xdr:rowOff>259556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FDEF330-1F8D-44C5-AB96-88D6C81138CF}"/>
            </a:ext>
          </a:extLst>
        </xdr:cNvPr>
        <xdr:cNvSpPr/>
      </xdr:nvSpPr>
      <xdr:spPr>
        <a:xfrm>
          <a:off x="6048375" y="190500"/>
          <a:ext cx="1585913" cy="25955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0</xdr:colOff>
      <xdr:row>2</xdr:row>
      <xdr:rowOff>0</xdr:rowOff>
    </xdr:from>
    <xdr:to>
      <xdr:col>7</xdr:col>
      <xdr:colOff>61913</xdr:colOff>
      <xdr:row>2</xdr:row>
      <xdr:rowOff>259556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F931517-8E3F-4F17-98C1-CE820B5C2A05}"/>
            </a:ext>
          </a:extLst>
        </xdr:cNvPr>
        <xdr:cNvSpPr/>
      </xdr:nvSpPr>
      <xdr:spPr>
        <a:xfrm>
          <a:off x="4924425" y="381000"/>
          <a:ext cx="1585913" cy="25955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542925</xdr:colOff>
      <xdr:row>1</xdr:row>
      <xdr:rowOff>142875</xdr:rowOff>
    </xdr:from>
    <xdr:to>
      <xdr:col>10</xdr:col>
      <xdr:colOff>604838</xdr:colOff>
      <xdr:row>3</xdr:row>
      <xdr:rowOff>21431</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129B3014-2504-4EC1-89D6-AB04656AC5C6}"/>
            </a:ext>
          </a:extLst>
        </xdr:cNvPr>
        <xdr:cNvSpPr/>
      </xdr:nvSpPr>
      <xdr:spPr>
        <a:xfrm>
          <a:off x="6105525" y="523875"/>
          <a:ext cx="1585913" cy="25955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twoCellAnchor>
    <xdr:from>
      <xdr:col>1</xdr:col>
      <xdr:colOff>419100</xdr:colOff>
      <xdr:row>2</xdr:row>
      <xdr:rowOff>160020</xdr:rowOff>
    </xdr:from>
    <xdr:to>
      <xdr:col>7</xdr:col>
      <xdr:colOff>937260</xdr:colOff>
      <xdr:row>17</xdr:row>
      <xdr:rowOff>34290</xdr:rowOff>
    </xdr:to>
    <xdr:graphicFrame macro="">
      <xdr:nvGraphicFramePr>
        <xdr:cNvPr id="2" name="Gráfico 1">
          <a:extLst>
            <a:ext uri="{FF2B5EF4-FFF2-40B4-BE49-F238E27FC236}">
              <a16:creationId xmlns:a16="http://schemas.microsoft.com/office/drawing/2014/main" id="{AABB1FC4-2C5D-2E54-4D6F-B2D1DFFC5C9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775335</xdr:colOff>
      <xdr:row>2</xdr:row>
      <xdr:rowOff>121920</xdr:rowOff>
    </xdr:from>
    <xdr:to>
      <xdr:col>15</xdr:col>
      <xdr:colOff>44768</xdr:colOff>
      <xdr:row>3</xdr:row>
      <xdr:rowOff>144780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F82B53E-CA3C-4DD1-B2EF-9CA4A563A41F}"/>
            </a:ext>
          </a:extLst>
        </xdr:cNvPr>
        <xdr:cNvSpPr/>
      </xdr:nvSpPr>
      <xdr:spPr>
        <a:xfrm>
          <a:off x="9469755" y="487680"/>
          <a:ext cx="1646873" cy="205740"/>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twoCellAnchor>
    <xdr:from>
      <xdr:col>4</xdr:col>
      <xdr:colOff>193675</xdr:colOff>
      <xdr:row>17</xdr:row>
      <xdr:rowOff>92075</xdr:rowOff>
    </xdr:from>
    <xdr:to>
      <xdr:col>8</xdr:col>
      <xdr:colOff>225425</xdr:colOff>
      <xdr:row>32</xdr:row>
      <xdr:rowOff>0</xdr:rowOff>
    </xdr:to>
    <xdr:graphicFrame macro="">
      <xdr:nvGraphicFramePr>
        <xdr:cNvPr id="22" name="Gráfico 14">
          <a:extLst>
            <a:ext uri="{FF2B5EF4-FFF2-40B4-BE49-F238E27FC236}">
              <a16:creationId xmlns:a16="http://schemas.microsoft.com/office/drawing/2014/main" id="{C40A5F4E-1CC4-429B-8F02-8A987FA250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17</xdr:row>
      <xdr:rowOff>107950</xdr:rowOff>
    </xdr:from>
    <xdr:to>
      <xdr:col>4</xdr:col>
      <xdr:colOff>415925</xdr:colOff>
      <xdr:row>31</xdr:row>
      <xdr:rowOff>146050</xdr:rowOff>
    </xdr:to>
    <xdr:graphicFrame macro="">
      <xdr:nvGraphicFramePr>
        <xdr:cNvPr id="13" name="Gráfico 22">
          <a:extLst>
            <a:ext uri="{FF2B5EF4-FFF2-40B4-BE49-F238E27FC236}">
              <a16:creationId xmlns:a16="http://schemas.microsoft.com/office/drawing/2014/main" id="{7F21830F-2074-46D5-A6CD-513CE7EA3E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2</xdr:row>
      <xdr:rowOff>328295</xdr:rowOff>
    </xdr:from>
    <xdr:to>
      <xdr:col>4</xdr:col>
      <xdr:colOff>385445</xdr:colOff>
      <xdr:row>16</xdr:row>
      <xdr:rowOff>88265</xdr:rowOff>
    </xdr:to>
    <xdr:graphicFrame macro="">
      <xdr:nvGraphicFramePr>
        <xdr:cNvPr id="14" name="Gráfico 24">
          <a:extLst>
            <a:ext uri="{FF2B5EF4-FFF2-40B4-BE49-F238E27FC236}">
              <a16:creationId xmlns:a16="http://schemas.microsoft.com/office/drawing/2014/main" id="{F0726AF4-C26A-45AA-92D2-67A8FD152A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382270</xdr:colOff>
      <xdr:row>2</xdr:row>
      <xdr:rowOff>302260</xdr:rowOff>
    </xdr:from>
    <xdr:to>
      <xdr:col>8</xdr:col>
      <xdr:colOff>274955</xdr:colOff>
      <xdr:row>16</xdr:row>
      <xdr:rowOff>60960</xdr:rowOff>
    </xdr:to>
    <xdr:graphicFrame macro="">
      <xdr:nvGraphicFramePr>
        <xdr:cNvPr id="19" name="Gráfico 2">
          <a:extLst>
            <a:ext uri="{FF2B5EF4-FFF2-40B4-BE49-F238E27FC236}">
              <a16:creationId xmlns:a16="http://schemas.microsoft.com/office/drawing/2014/main" id="{6D4D6B34-8475-488B-908F-7EC9134B5A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15240</xdr:colOff>
      <xdr:row>17</xdr:row>
      <xdr:rowOff>94615</xdr:rowOff>
    </xdr:from>
    <xdr:to>
      <xdr:col>12</xdr:col>
      <xdr:colOff>16510</xdr:colOff>
      <xdr:row>32</xdr:row>
      <xdr:rowOff>2540</xdr:rowOff>
    </xdr:to>
    <xdr:graphicFrame macro="">
      <xdr:nvGraphicFramePr>
        <xdr:cNvPr id="3" name="Gráfico 14">
          <a:extLst>
            <a:ext uri="{FF2B5EF4-FFF2-40B4-BE49-F238E27FC236}">
              <a16:creationId xmlns:a16="http://schemas.microsoft.com/office/drawing/2014/main" id="{FAC7162D-3E7E-437D-886A-9D610104E5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203835</xdr:colOff>
      <xdr:row>2</xdr:row>
      <xdr:rowOff>304800</xdr:rowOff>
    </xdr:from>
    <xdr:to>
      <xdr:col>12</xdr:col>
      <xdr:colOff>66040</xdr:colOff>
      <xdr:row>16</xdr:row>
      <xdr:rowOff>63500</xdr:rowOff>
    </xdr:to>
    <xdr:graphicFrame macro="">
      <xdr:nvGraphicFramePr>
        <xdr:cNvPr id="4" name="Gráfico 2">
          <a:extLst>
            <a:ext uri="{FF2B5EF4-FFF2-40B4-BE49-F238E27FC236}">
              <a16:creationId xmlns:a16="http://schemas.microsoft.com/office/drawing/2014/main" id="{333116A9-AF24-4F29-A0D2-ED05A8A01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533400</xdr:colOff>
      <xdr:row>43</xdr:row>
      <xdr:rowOff>163830</xdr:rowOff>
    </xdr:from>
    <xdr:to>
      <xdr:col>16</xdr:col>
      <xdr:colOff>624840</xdr:colOff>
      <xdr:row>62</xdr:row>
      <xdr:rowOff>30480</xdr:rowOff>
    </xdr:to>
    <xdr:graphicFrame macro="">
      <xdr:nvGraphicFramePr>
        <xdr:cNvPr id="6" name="Gráfico 5">
          <a:extLst>
            <a:ext uri="{FF2B5EF4-FFF2-40B4-BE49-F238E27FC236}">
              <a16:creationId xmlns:a16="http://schemas.microsoft.com/office/drawing/2014/main" id="{9196B3DA-F897-8D6A-91EA-5268FC4A6EA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16</xdr:col>
      <xdr:colOff>760941</xdr:colOff>
      <xdr:row>1</xdr:row>
      <xdr:rowOff>174625</xdr:rowOff>
    </xdr:from>
    <xdr:to>
      <xdr:col>19</xdr:col>
      <xdr:colOff>26988</xdr:colOff>
      <xdr:row>2</xdr:row>
      <xdr:rowOff>262468</xdr:rowOff>
    </xdr:to>
    <xdr:sp macro="" textlink="">
      <xdr:nvSpPr>
        <xdr:cNvPr id="4" name="Rectángulo: esquinas redondeadas 3">
          <a:hlinkClick xmlns:r="http://schemas.openxmlformats.org/officeDocument/2006/relationships" r:id="rId1"/>
          <a:extLst>
            <a:ext uri="{FF2B5EF4-FFF2-40B4-BE49-F238E27FC236}">
              <a16:creationId xmlns:a16="http://schemas.microsoft.com/office/drawing/2014/main" id="{87984B8F-9709-4D9E-9749-B958424B997E}"/>
            </a:ext>
          </a:extLst>
        </xdr:cNvPr>
        <xdr:cNvSpPr/>
      </xdr:nvSpPr>
      <xdr:spPr>
        <a:xfrm>
          <a:off x="13215408" y="538692"/>
          <a:ext cx="1653647" cy="274109"/>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twoCellAnchor>
    <xdr:from>
      <xdr:col>1</xdr:col>
      <xdr:colOff>118533</xdr:colOff>
      <xdr:row>4</xdr:row>
      <xdr:rowOff>64559</xdr:rowOff>
    </xdr:from>
    <xdr:to>
      <xdr:col>5</xdr:col>
      <xdr:colOff>75141</xdr:colOff>
      <xdr:row>18</xdr:row>
      <xdr:rowOff>178858</xdr:rowOff>
    </xdr:to>
    <xdr:graphicFrame macro="">
      <xdr:nvGraphicFramePr>
        <xdr:cNvPr id="6" name="Gráfico 5">
          <a:extLst>
            <a:ext uri="{FF2B5EF4-FFF2-40B4-BE49-F238E27FC236}">
              <a16:creationId xmlns:a16="http://schemas.microsoft.com/office/drawing/2014/main" id="{C0D94416-AC63-4893-AF27-D021B7DA3FF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156633</xdr:colOff>
      <xdr:row>4</xdr:row>
      <xdr:rowOff>55035</xdr:rowOff>
    </xdr:from>
    <xdr:to>
      <xdr:col>9</xdr:col>
      <xdr:colOff>65615</xdr:colOff>
      <xdr:row>18</xdr:row>
      <xdr:rowOff>159808</xdr:rowOff>
    </xdr:to>
    <xdr:graphicFrame macro="">
      <xdr:nvGraphicFramePr>
        <xdr:cNvPr id="9" name="Gráfico 8">
          <a:extLst>
            <a:ext uri="{FF2B5EF4-FFF2-40B4-BE49-F238E27FC236}">
              <a16:creationId xmlns:a16="http://schemas.microsoft.com/office/drawing/2014/main" id="{74485CB1-5EB9-4B5E-6177-45F368FC0D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147108</xdr:colOff>
      <xdr:row>4</xdr:row>
      <xdr:rowOff>35984</xdr:rowOff>
    </xdr:from>
    <xdr:to>
      <xdr:col>13</xdr:col>
      <xdr:colOff>56091</xdr:colOff>
      <xdr:row>19</xdr:row>
      <xdr:rowOff>16934</xdr:rowOff>
    </xdr:to>
    <xdr:graphicFrame macro="">
      <xdr:nvGraphicFramePr>
        <xdr:cNvPr id="10" name="Gráfico 9">
          <a:extLst>
            <a:ext uri="{FF2B5EF4-FFF2-40B4-BE49-F238E27FC236}">
              <a16:creationId xmlns:a16="http://schemas.microsoft.com/office/drawing/2014/main" id="{B8FB16D7-D575-08F8-6CC7-07959CB5E2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156632</xdr:colOff>
      <xdr:row>4</xdr:row>
      <xdr:rowOff>55033</xdr:rowOff>
    </xdr:from>
    <xdr:to>
      <xdr:col>17</xdr:col>
      <xdr:colOff>56091</xdr:colOff>
      <xdr:row>19</xdr:row>
      <xdr:rowOff>11641</xdr:rowOff>
    </xdr:to>
    <xdr:graphicFrame macro="">
      <xdr:nvGraphicFramePr>
        <xdr:cNvPr id="11" name="Gráfico 10">
          <a:extLst>
            <a:ext uri="{FF2B5EF4-FFF2-40B4-BE49-F238E27FC236}">
              <a16:creationId xmlns:a16="http://schemas.microsoft.com/office/drawing/2014/main" id="{7835582C-5E06-4FDA-1147-DA20A3CD4B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0</xdr:colOff>
      <xdr:row>2</xdr:row>
      <xdr:rowOff>0</xdr:rowOff>
    </xdr:from>
    <xdr:to>
      <xdr:col>11</xdr:col>
      <xdr:colOff>61913</xdr:colOff>
      <xdr:row>3</xdr:row>
      <xdr:rowOff>69056</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6E3D6F3-7CA3-46EC-A28B-35BD0E4FF6D6}"/>
            </a:ext>
          </a:extLst>
        </xdr:cNvPr>
        <xdr:cNvSpPr/>
      </xdr:nvSpPr>
      <xdr:spPr>
        <a:xfrm>
          <a:off x="6489700" y="2419350"/>
          <a:ext cx="1585913" cy="25320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584201</xdr:colOff>
      <xdr:row>2</xdr:row>
      <xdr:rowOff>119590</xdr:rowOff>
    </xdr:from>
    <xdr:to>
      <xdr:col>8</xdr:col>
      <xdr:colOff>16934</xdr:colOff>
      <xdr:row>16</xdr:row>
      <xdr:rowOff>101599</xdr:rowOff>
    </xdr:to>
    <xdr:graphicFrame macro="">
      <xdr:nvGraphicFramePr>
        <xdr:cNvPr id="3" name="Gráfico 2">
          <a:extLst>
            <a:ext uri="{FF2B5EF4-FFF2-40B4-BE49-F238E27FC236}">
              <a16:creationId xmlns:a16="http://schemas.microsoft.com/office/drawing/2014/main" id="{4473C69C-B7CB-4864-B6A0-B636AA24B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371475</xdr:colOff>
      <xdr:row>1</xdr:row>
      <xdr:rowOff>95250</xdr:rowOff>
    </xdr:from>
    <xdr:to>
      <xdr:col>10</xdr:col>
      <xdr:colOff>433388</xdr:colOff>
      <xdr:row>2</xdr:row>
      <xdr:rowOff>164306</xdr:rowOff>
    </xdr:to>
    <xdr:sp macro="" textlink="">
      <xdr:nvSpPr>
        <xdr:cNvPr id="2" name="Rectángulo: esquinas redondeadas 1">
          <a:hlinkClick xmlns:r="http://schemas.openxmlformats.org/officeDocument/2006/relationships" r:id="rId2"/>
          <a:extLst>
            <a:ext uri="{FF2B5EF4-FFF2-40B4-BE49-F238E27FC236}">
              <a16:creationId xmlns:a16="http://schemas.microsoft.com/office/drawing/2014/main" id="{59C27D69-4021-44A0-97E5-B419993AC9D3}"/>
            </a:ext>
          </a:extLst>
        </xdr:cNvPr>
        <xdr:cNvSpPr/>
      </xdr:nvSpPr>
      <xdr:spPr>
        <a:xfrm>
          <a:off x="5934075" y="95250"/>
          <a:ext cx="1585913" cy="25955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8</xdr:col>
      <xdr:colOff>342900</xdr:colOff>
      <xdr:row>1</xdr:row>
      <xdr:rowOff>95250</xdr:rowOff>
    </xdr:from>
    <xdr:to>
      <xdr:col>10</xdr:col>
      <xdr:colOff>404813</xdr:colOff>
      <xdr:row>2</xdr:row>
      <xdr:rowOff>164306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67B799-DBCB-43EE-951B-3507F91964BE}"/>
            </a:ext>
          </a:extLst>
        </xdr:cNvPr>
        <xdr:cNvSpPr/>
      </xdr:nvSpPr>
      <xdr:spPr>
        <a:xfrm>
          <a:off x="5905500" y="95250"/>
          <a:ext cx="1585913" cy="25955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twoCellAnchor>
    <xdr:from>
      <xdr:col>1</xdr:col>
      <xdr:colOff>30480</xdr:colOff>
      <xdr:row>3</xdr:row>
      <xdr:rowOff>57150</xdr:rowOff>
    </xdr:from>
    <xdr:to>
      <xdr:col>7</xdr:col>
      <xdr:colOff>960120</xdr:colOff>
      <xdr:row>15</xdr:row>
      <xdr:rowOff>693420</xdr:rowOff>
    </xdr:to>
    <xdr:graphicFrame macro="">
      <xdr:nvGraphicFramePr>
        <xdr:cNvPr id="5" name="Gráfico 4">
          <a:extLst>
            <a:ext uri="{FF2B5EF4-FFF2-40B4-BE49-F238E27FC236}">
              <a16:creationId xmlns:a16="http://schemas.microsoft.com/office/drawing/2014/main" id="{DC4F8860-C805-F050-C5A8-5A9A0E70E7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8</xdr:col>
      <xdr:colOff>533400</xdr:colOff>
      <xdr:row>1</xdr:row>
      <xdr:rowOff>247650</xdr:rowOff>
    </xdr:from>
    <xdr:to>
      <xdr:col>10</xdr:col>
      <xdr:colOff>595313</xdr:colOff>
      <xdr:row>2</xdr:row>
      <xdr:rowOff>76200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AD2E8E0-242A-4524-99CC-7299C12A677D}"/>
            </a:ext>
          </a:extLst>
        </xdr:cNvPr>
        <xdr:cNvSpPr/>
      </xdr:nvSpPr>
      <xdr:spPr>
        <a:xfrm>
          <a:off x="6789420" y="651510"/>
          <a:ext cx="1646873" cy="217170"/>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twoCellAnchor>
    <xdr:from>
      <xdr:col>1</xdr:col>
      <xdr:colOff>441960</xdr:colOff>
      <xdr:row>2</xdr:row>
      <xdr:rowOff>156210</xdr:rowOff>
    </xdr:from>
    <xdr:to>
      <xdr:col>8</xdr:col>
      <xdr:colOff>220980</xdr:colOff>
      <xdr:row>14</xdr:row>
      <xdr:rowOff>975360</xdr:rowOff>
    </xdr:to>
    <xdr:graphicFrame macro="">
      <xdr:nvGraphicFramePr>
        <xdr:cNvPr id="3" name="Gráfico 2">
          <a:extLst>
            <a:ext uri="{FF2B5EF4-FFF2-40B4-BE49-F238E27FC236}">
              <a16:creationId xmlns:a16="http://schemas.microsoft.com/office/drawing/2014/main" id="{A733BB7B-927C-9F6E-2423-DD77E9A440A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9</xdr:col>
      <xdr:colOff>424815</xdr:colOff>
      <xdr:row>1</xdr:row>
      <xdr:rowOff>260985</xdr:rowOff>
    </xdr:from>
    <xdr:to>
      <xdr:col>11</xdr:col>
      <xdr:colOff>227648</xdr:colOff>
      <xdr:row>2</xdr:row>
      <xdr:rowOff>137160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B9DFB4E-F4C0-46FA-839B-67A48CD8AACF}"/>
            </a:ext>
          </a:extLst>
        </xdr:cNvPr>
        <xdr:cNvSpPr/>
      </xdr:nvSpPr>
      <xdr:spPr>
        <a:xfrm>
          <a:off x="7259955" y="535305"/>
          <a:ext cx="1646873" cy="234315"/>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twoCellAnchor>
    <xdr:from>
      <xdr:col>0</xdr:col>
      <xdr:colOff>492034</xdr:colOff>
      <xdr:row>2</xdr:row>
      <xdr:rowOff>133532</xdr:rowOff>
    </xdr:from>
    <xdr:to>
      <xdr:col>8</xdr:col>
      <xdr:colOff>60960</xdr:colOff>
      <xdr:row>19</xdr:row>
      <xdr:rowOff>99060</xdr:rowOff>
    </xdr:to>
    <xdr:graphicFrame macro="">
      <xdr:nvGraphicFramePr>
        <xdr:cNvPr id="22" name="Gráfico 6">
          <a:extLst>
            <a:ext uri="{FF2B5EF4-FFF2-40B4-BE49-F238E27FC236}">
              <a16:creationId xmlns:a16="http://schemas.microsoft.com/office/drawing/2014/main" id="{5E97ABCD-0D24-47EF-86EE-E35CD39428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615315</xdr:colOff>
      <xdr:row>1</xdr:row>
      <xdr:rowOff>78105</xdr:rowOff>
    </xdr:from>
    <xdr:to>
      <xdr:col>12</xdr:col>
      <xdr:colOff>677228</xdr:colOff>
      <xdr:row>2</xdr:row>
      <xdr:rowOff>139541</xdr:rowOff>
    </xdr:to>
    <xdr:sp macro="" textlink="">
      <xdr:nvSpPr>
        <xdr:cNvPr id="5" name="Rectángulo: esquinas redondeadas 4">
          <a:hlinkClick xmlns:r="http://schemas.openxmlformats.org/officeDocument/2006/relationships" r:id="rId1"/>
          <a:extLst>
            <a:ext uri="{FF2B5EF4-FFF2-40B4-BE49-F238E27FC236}">
              <a16:creationId xmlns:a16="http://schemas.microsoft.com/office/drawing/2014/main" id="{98EF760E-97E4-331C-DE15-61D5A7D48483}"/>
            </a:ext>
          </a:extLst>
        </xdr:cNvPr>
        <xdr:cNvSpPr/>
      </xdr:nvSpPr>
      <xdr:spPr>
        <a:xfrm>
          <a:off x="8319135" y="260985"/>
          <a:ext cx="1646873" cy="24431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twoCellAnchor>
    <xdr:from>
      <xdr:col>1</xdr:col>
      <xdr:colOff>45720</xdr:colOff>
      <xdr:row>2</xdr:row>
      <xdr:rowOff>175259</xdr:rowOff>
    </xdr:from>
    <xdr:to>
      <xdr:col>6</xdr:col>
      <xdr:colOff>342900</xdr:colOff>
      <xdr:row>14</xdr:row>
      <xdr:rowOff>180975</xdr:rowOff>
    </xdr:to>
    <xdr:graphicFrame macro="">
      <xdr:nvGraphicFramePr>
        <xdr:cNvPr id="9" name="Gráfico 7">
          <a:extLst>
            <a:ext uri="{FF2B5EF4-FFF2-40B4-BE49-F238E27FC236}">
              <a16:creationId xmlns:a16="http://schemas.microsoft.com/office/drawing/2014/main" id="{A0468050-B6F5-2744-D460-718892765B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6</xdr:col>
      <xdr:colOff>22860</xdr:colOff>
      <xdr:row>3</xdr:row>
      <xdr:rowOff>83819</xdr:rowOff>
    </xdr:from>
    <xdr:to>
      <xdr:col>10</xdr:col>
      <xdr:colOff>403860</xdr:colOff>
      <xdr:row>14</xdr:row>
      <xdr:rowOff>53340</xdr:rowOff>
    </xdr:to>
    <xdr:graphicFrame macro="">
      <xdr:nvGraphicFramePr>
        <xdr:cNvPr id="2" name="Gráfico 1">
          <a:extLst>
            <a:ext uri="{FF2B5EF4-FFF2-40B4-BE49-F238E27FC236}">
              <a16:creationId xmlns:a16="http://schemas.microsoft.com/office/drawing/2014/main" id="{4B11B36E-723F-42C6-A72D-D34EE85ECC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121920</xdr:colOff>
      <xdr:row>3</xdr:row>
      <xdr:rowOff>91439</xdr:rowOff>
    </xdr:from>
    <xdr:to>
      <xdr:col>5</xdr:col>
      <xdr:colOff>579120</xdr:colOff>
      <xdr:row>14</xdr:row>
      <xdr:rowOff>45720</xdr:rowOff>
    </xdr:to>
    <xdr:graphicFrame macro="">
      <xdr:nvGraphicFramePr>
        <xdr:cNvPr id="3" name="Gráfico 2">
          <a:extLst>
            <a:ext uri="{FF2B5EF4-FFF2-40B4-BE49-F238E27FC236}">
              <a16:creationId xmlns:a16="http://schemas.microsoft.com/office/drawing/2014/main" id="{FBDF7B7C-F095-4753-AD40-AF586D1365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615315</xdr:colOff>
      <xdr:row>1</xdr:row>
      <xdr:rowOff>78105</xdr:rowOff>
    </xdr:from>
    <xdr:to>
      <xdr:col>12</xdr:col>
      <xdr:colOff>677228</xdr:colOff>
      <xdr:row>2</xdr:row>
      <xdr:rowOff>139541</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63414E-3249-4196-BD61-82E95D5E6EAB}"/>
            </a:ext>
          </a:extLst>
        </xdr:cNvPr>
        <xdr:cNvSpPr/>
      </xdr:nvSpPr>
      <xdr:spPr>
        <a:xfrm>
          <a:off x="8319135" y="260985"/>
          <a:ext cx="1646873" cy="24431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30480</xdr:colOff>
      <xdr:row>3</xdr:row>
      <xdr:rowOff>19050</xdr:rowOff>
    </xdr:from>
    <xdr:to>
      <xdr:col>8</xdr:col>
      <xdr:colOff>76200</xdr:colOff>
      <xdr:row>15</xdr:row>
      <xdr:rowOff>114300</xdr:rowOff>
    </xdr:to>
    <xdr:graphicFrame macro="">
      <xdr:nvGraphicFramePr>
        <xdr:cNvPr id="2" name="Gráfico 4">
          <a:extLst>
            <a:ext uri="{FF2B5EF4-FFF2-40B4-BE49-F238E27FC236}">
              <a16:creationId xmlns:a16="http://schemas.microsoft.com/office/drawing/2014/main" id="{E460BC05-D9B9-7638-E769-7F62D631F4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394335</xdr:colOff>
      <xdr:row>1</xdr:row>
      <xdr:rowOff>161925</xdr:rowOff>
    </xdr:from>
    <xdr:to>
      <xdr:col>10</xdr:col>
      <xdr:colOff>456248</xdr:colOff>
      <xdr:row>3</xdr:row>
      <xdr:rowOff>40481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C8F18B7A-689D-08CD-3726-30D22F4B0BE4}"/>
            </a:ext>
          </a:extLst>
        </xdr:cNvPr>
        <xdr:cNvSpPr/>
      </xdr:nvSpPr>
      <xdr:spPr>
        <a:xfrm>
          <a:off x="6513195" y="344805"/>
          <a:ext cx="1646873" cy="24431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xdr:col>
      <xdr:colOff>5668</xdr:colOff>
      <xdr:row>3</xdr:row>
      <xdr:rowOff>14425</xdr:rowOff>
    </xdr:from>
    <xdr:to>
      <xdr:col>10</xdr:col>
      <xdr:colOff>734483</xdr:colOff>
      <xdr:row>3</xdr:row>
      <xdr:rowOff>3607859</xdr:rowOff>
    </xdr:to>
    <xdr:graphicFrame macro="">
      <xdr:nvGraphicFramePr>
        <xdr:cNvPr id="4" name="Gráfico 1">
          <a:extLst>
            <a:ext uri="{FF2B5EF4-FFF2-40B4-BE49-F238E27FC236}">
              <a16:creationId xmlns:a16="http://schemas.microsoft.com/office/drawing/2014/main" id="{F07149A4-1512-4BF6-A6AD-15D35DEDC8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510540</xdr:colOff>
      <xdr:row>1</xdr:row>
      <xdr:rowOff>114300</xdr:rowOff>
    </xdr:from>
    <xdr:to>
      <xdr:col>13</xdr:col>
      <xdr:colOff>679133</xdr:colOff>
      <xdr:row>3</xdr:row>
      <xdr:rowOff>476</xdr:rowOff>
    </xdr:to>
    <xdr:sp macro="" textlink="">
      <xdr:nvSpPr>
        <xdr:cNvPr id="2" name="Rectángulo: esquinas redondeadas 1">
          <a:hlinkClick xmlns:r="http://schemas.openxmlformats.org/officeDocument/2006/relationships" r:id="rId2"/>
          <a:extLst>
            <a:ext uri="{FF2B5EF4-FFF2-40B4-BE49-F238E27FC236}">
              <a16:creationId xmlns:a16="http://schemas.microsoft.com/office/drawing/2014/main" id="{E7987953-667B-4229-86A0-738A03036FAF}"/>
            </a:ext>
          </a:extLst>
        </xdr:cNvPr>
        <xdr:cNvSpPr/>
      </xdr:nvSpPr>
      <xdr:spPr>
        <a:xfrm>
          <a:off x="8054340" y="289560"/>
          <a:ext cx="1646873" cy="24431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xdr:col>
      <xdr:colOff>123295</xdr:colOff>
      <xdr:row>3</xdr:row>
      <xdr:rowOff>48258</xdr:rowOff>
    </xdr:from>
    <xdr:to>
      <xdr:col>9</xdr:col>
      <xdr:colOff>177800</xdr:colOff>
      <xdr:row>4</xdr:row>
      <xdr:rowOff>406400</xdr:rowOff>
    </xdr:to>
    <xdr:graphicFrame macro="">
      <xdr:nvGraphicFramePr>
        <xdr:cNvPr id="4" name="Gráfico 1">
          <a:extLst>
            <a:ext uri="{FF2B5EF4-FFF2-40B4-BE49-F238E27FC236}">
              <a16:creationId xmlns:a16="http://schemas.microsoft.com/office/drawing/2014/main" id="{3CD9C57C-1329-4836-A7C8-7D329F1D57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647700</xdr:colOff>
      <xdr:row>1</xdr:row>
      <xdr:rowOff>144780</xdr:rowOff>
    </xdr:from>
    <xdr:to>
      <xdr:col>11</xdr:col>
      <xdr:colOff>694373</xdr:colOff>
      <xdr:row>3</xdr:row>
      <xdr:rowOff>30956</xdr:rowOff>
    </xdr:to>
    <xdr:sp macro="" textlink="">
      <xdr:nvSpPr>
        <xdr:cNvPr id="2" name="Rectángulo: esquinas redondeadas 1">
          <a:hlinkClick xmlns:r="http://schemas.openxmlformats.org/officeDocument/2006/relationships" r:id="rId2"/>
          <a:extLst>
            <a:ext uri="{FF2B5EF4-FFF2-40B4-BE49-F238E27FC236}">
              <a16:creationId xmlns:a16="http://schemas.microsoft.com/office/drawing/2014/main" id="{C19B4834-C4BD-4F26-A7D3-6D210E702E4E}"/>
            </a:ext>
          </a:extLst>
        </xdr:cNvPr>
        <xdr:cNvSpPr/>
      </xdr:nvSpPr>
      <xdr:spPr>
        <a:xfrm>
          <a:off x="7040880" y="320040"/>
          <a:ext cx="1646873" cy="24431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39050</xdr:colOff>
      <xdr:row>2</xdr:row>
      <xdr:rowOff>124460</xdr:rowOff>
    </xdr:from>
    <xdr:to>
      <xdr:col>13</xdr:col>
      <xdr:colOff>281939</xdr:colOff>
      <xdr:row>7</xdr:row>
      <xdr:rowOff>137159</xdr:rowOff>
    </xdr:to>
    <xdr:graphicFrame macro="">
      <xdr:nvGraphicFramePr>
        <xdr:cNvPr id="4" name="Gráfico 1">
          <a:extLst>
            <a:ext uri="{FF2B5EF4-FFF2-40B4-BE49-F238E27FC236}">
              <a16:creationId xmlns:a16="http://schemas.microsoft.com/office/drawing/2014/main" id="{DDF90DA8-1596-4E41-9584-B3EEA5997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2</xdr:row>
      <xdr:rowOff>0</xdr:rowOff>
    </xdr:from>
    <xdr:to>
      <xdr:col>16</xdr:col>
      <xdr:colOff>762953</xdr:colOff>
      <xdr:row>2</xdr:row>
      <xdr:rowOff>244316</xdr:rowOff>
    </xdr:to>
    <xdr:sp macro="" textlink="">
      <xdr:nvSpPr>
        <xdr:cNvPr id="2" name="Rectángulo: esquinas redondeadas 1">
          <a:hlinkClick xmlns:r="http://schemas.openxmlformats.org/officeDocument/2006/relationships" r:id="rId2"/>
          <a:extLst>
            <a:ext uri="{FF2B5EF4-FFF2-40B4-BE49-F238E27FC236}">
              <a16:creationId xmlns:a16="http://schemas.microsoft.com/office/drawing/2014/main" id="{5FF40FFF-371E-4841-A53A-C24FC395FF91}"/>
            </a:ext>
          </a:extLst>
        </xdr:cNvPr>
        <xdr:cNvSpPr/>
      </xdr:nvSpPr>
      <xdr:spPr>
        <a:xfrm>
          <a:off x="6911340" y="358140"/>
          <a:ext cx="1646873" cy="24431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723900</xdr:colOff>
      <xdr:row>2</xdr:row>
      <xdr:rowOff>19050</xdr:rowOff>
    </xdr:from>
    <xdr:to>
      <xdr:col>12</xdr:col>
      <xdr:colOff>23813</xdr:colOff>
      <xdr:row>3</xdr:row>
      <xdr:rowOff>88106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80827C0-8B84-40E4-BAF8-8028B96C6A55}"/>
            </a:ext>
          </a:extLst>
        </xdr:cNvPr>
        <xdr:cNvSpPr/>
      </xdr:nvSpPr>
      <xdr:spPr>
        <a:xfrm>
          <a:off x="6638925" y="209550"/>
          <a:ext cx="1585913" cy="25955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96</xdr:col>
      <xdr:colOff>5395</xdr:colOff>
      <xdr:row>3</xdr:row>
      <xdr:rowOff>47625</xdr:rowOff>
    </xdr:from>
    <xdr:to>
      <xdr:col>106</xdr:col>
      <xdr:colOff>307021</xdr:colOff>
      <xdr:row>6</xdr:row>
      <xdr:rowOff>144145</xdr:rowOff>
    </xdr:to>
    <xdr:graphicFrame macro="">
      <xdr:nvGraphicFramePr>
        <xdr:cNvPr id="4" name="Gráfico 1">
          <a:extLst>
            <a:ext uri="{FF2B5EF4-FFF2-40B4-BE49-F238E27FC236}">
              <a16:creationId xmlns:a16="http://schemas.microsoft.com/office/drawing/2014/main" id="{870CB38A-9FD0-4FFE-920E-415713CE2F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107</xdr:col>
      <xdr:colOff>0</xdr:colOff>
      <xdr:row>2</xdr:row>
      <xdr:rowOff>0</xdr:rowOff>
    </xdr:from>
    <xdr:to>
      <xdr:col>109</xdr:col>
      <xdr:colOff>168593</xdr:colOff>
      <xdr:row>3</xdr:row>
      <xdr:rowOff>69056</xdr:rowOff>
    </xdr:to>
    <xdr:sp macro="" textlink="">
      <xdr:nvSpPr>
        <xdr:cNvPr id="2" name="Rectángulo: esquinas redondeadas 1">
          <a:hlinkClick xmlns:r="http://schemas.openxmlformats.org/officeDocument/2006/relationships" r:id="rId2"/>
          <a:extLst>
            <a:ext uri="{FF2B5EF4-FFF2-40B4-BE49-F238E27FC236}">
              <a16:creationId xmlns:a16="http://schemas.microsoft.com/office/drawing/2014/main" id="{FAF78B90-8604-4175-B4BE-A9C7D24E7228}"/>
            </a:ext>
          </a:extLst>
        </xdr:cNvPr>
        <xdr:cNvSpPr/>
      </xdr:nvSpPr>
      <xdr:spPr>
        <a:xfrm>
          <a:off x="8542020" y="358140"/>
          <a:ext cx="1646873" cy="24431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12</xdr:col>
      <xdr:colOff>1</xdr:colOff>
      <xdr:row>3</xdr:row>
      <xdr:rowOff>150814</xdr:rowOff>
    </xdr:from>
    <xdr:to>
      <xdr:col>18</xdr:col>
      <xdr:colOff>830581</xdr:colOff>
      <xdr:row>15</xdr:row>
      <xdr:rowOff>123825</xdr:rowOff>
    </xdr:to>
    <xdr:graphicFrame macro="">
      <xdr:nvGraphicFramePr>
        <xdr:cNvPr id="7" name="Gráfico 1">
          <a:extLst>
            <a:ext uri="{FF2B5EF4-FFF2-40B4-BE49-F238E27FC236}">
              <a16:creationId xmlns:a16="http://schemas.microsoft.com/office/drawing/2014/main" id="{C74AA08B-E188-483C-896C-C4F1413971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1226820</xdr:colOff>
      <xdr:row>2</xdr:row>
      <xdr:rowOff>76200</xdr:rowOff>
    </xdr:from>
    <xdr:to>
      <xdr:col>20</xdr:col>
      <xdr:colOff>762953</xdr:colOff>
      <xdr:row>3</xdr:row>
      <xdr:rowOff>137636</xdr:rowOff>
    </xdr:to>
    <xdr:sp macro="" textlink="">
      <xdr:nvSpPr>
        <xdr:cNvPr id="2" name="Rectángulo: esquinas redondeadas 1">
          <a:hlinkClick xmlns:r="http://schemas.openxmlformats.org/officeDocument/2006/relationships" r:id="rId2"/>
          <a:extLst>
            <a:ext uri="{FF2B5EF4-FFF2-40B4-BE49-F238E27FC236}">
              <a16:creationId xmlns:a16="http://schemas.microsoft.com/office/drawing/2014/main" id="{DB70A6DD-6E8A-435C-AD8B-1F0A516A2F3B}"/>
            </a:ext>
          </a:extLst>
        </xdr:cNvPr>
        <xdr:cNvSpPr/>
      </xdr:nvSpPr>
      <xdr:spPr>
        <a:xfrm>
          <a:off x="7223760" y="335280"/>
          <a:ext cx="1646873" cy="24431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xdr:col>
      <xdr:colOff>103822</xdr:colOff>
      <xdr:row>3</xdr:row>
      <xdr:rowOff>8255</xdr:rowOff>
    </xdr:from>
    <xdr:to>
      <xdr:col>5</xdr:col>
      <xdr:colOff>438786</xdr:colOff>
      <xdr:row>18</xdr:row>
      <xdr:rowOff>579121</xdr:rowOff>
    </xdr:to>
    <xdr:graphicFrame macro="">
      <xdr:nvGraphicFramePr>
        <xdr:cNvPr id="5" name="Gráfico 1">
          <a:extLst>
            <a:ext uri="{FF2B5EF4-FFF2-40B4-BE49-F238E27FC236}">
              <a16:creationId xmlns:a16="http://schemas.microsoft.com/office/drawing/2014/main" id="{120217A9-134A-4F74-A4B4-76742F0C59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2</xdr:row>
      <xdr:rowOff>0</xdr:rowOff>
    </xdr:from>
    <xdr:to>
      <xdr:col>9</xdr:col>
      <xdr:colOff>153353</xdr:colOff>
      <xdr:row>3</xdr:row>
      <xdr:rowOff>76676</xdr:rowOff>
    </xdr:to>
    <xdr:sp macro="" textlink="">
      <xdr:nvSpPr>
        <xdr:cNvPr id="2" name="Rectángulo: esquinas redondeadas 1">
          <a:hlinkClick xmlns:r="http://schemas.openxmlformats.org/officeDocument/2006/relationships" r:id="rId2"/>
          <a:extLst>
            <a:ext uri="{FF2B5EF4-FFF2-40B4-BE49-F238E27FC236}">
              <a16:creationId xmlns:a16="http://schemas.microsoft.com/office/drawing/2014/main" id="{1AC17988-C9EB-43D7-A269-C2A01566E092}"/>
            </a:ext>
          </a:extLst>
        </xdr:cNvPr>
        <xdr:cNvSpPr/>
      </xdr:nvSpPr>
      <xdr:spPr>
        <a:xfrm>
          <a:off x="5120640" y="350520"/>
          <a:ext cx="1646873" cy="24431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9</xdr:col>
      <xdr:colOff>1</xdr:colOff>
      <xdr:row>2</xdr:row>
      <xdr:rowOff>150811</xdr:rowOff>
    </xdr:from>
    <xdr:to>
      <xdr:col>16</xdr:col>
      <xdr:colOff>266700</xdr:colOff>
      <xdr:row>20</xdr:row>
      <xdr:rowOff>22860</xdr:rowOff>
    </xdr:to>
    <xdr:graphicFrame macro="">
      <xdr:nvGraphicFramePr>
        <xdr:cNvPr id="31" name="Gráfico 1">
          <a:extLst>
            <a:ext uri="{FF2B5EF4-FFF2-40B4-BE49-F238E27FC236}">
              <a16:creationId xmlns:a16="http://schemas.microsoft.com/office/drawing/2014/main" id="{5F01C32F-C747-444C-97DD-F64B19D2AF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1693</xdr:colOff>
      <xdr:row>3</xdr:row>
      <xdr:rowOff>55033</xdr:rowOff>
    </xdr:from>
    <xdr:to>
      <xdr:col>7</xdr:col>
      <xdr:colOff>716280</xdr:colOff>
      <xdr:row>20</xdr:row>
      <xdr:rowOff>16404</xdr:rowOff>
    </xdr:to>
    <xdr:graphicFrame macro="">
      <xdr:nvGraphicFramePr>
        <xdr:cNvPr id="30" name="Gráfico 2">
          <a:extLst>
            <a:ext uri="{FF2B5EF4-FFF2-40B4-BE49-F238E27FC236}">
              <a16:creationId xmlns:a16="http://schemas.microsoft.com/office/drawing/2014/main" id="{ABF1CAA0-CB8A-40FB-B20D-D74112BF71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472440</xdr:colOff>
      <xdr:row>1</xdr:row>
      <xdr:rowOff>76200</xdr:rowOff>
    </xdr:from>
    <xdr:to>
      <xdr:col>18</xdr:col>
      <xdr:colOff>534353</xdr:colOff>
      <xdr:row>2</xdr:row>
      <xdr:rowOff>137636</xdr:rowOff>
    </xdr:to>
    <xdr:sp macro="" textlink="">
      <xdr:nvSpPr>
        <xdr:cNvPr id="2" name="Rectángulo: esquinas redondeadas 1">
          <a:hlinkClick xmlns:r="http://schemas.openxmlformats.org/officeDocument/2006/relationships" r:id="rId3"/>
          <a:extLst>
            <a:ext uri="{FF2B5EF4-FFF2-40B4-BE49-F238E27FC236}">
              <a16:creationId xmlns:a16="http://schemas.microsoft.com/office/drawing/2014/main" id="{90BA878D-54B0-4057-AA51-32F0C2476BEB}"/>
            </a:ext>
          </a:extLst>
        </xdr:cNvPr>
        <xdr:cNvSpPr/>
      </xdr:nvSpPr>
      <xdr:spPr>
        <a:xfrm>
          <a:off x="12961620" y="259080"/>
          <a:ext cx="1646873" cy="24431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9</xdr:col>
      <xdr:colOff>1</xdr:colOff>
      <xdr:row>2</xdr:row>
      <xdr:rowOff>150811</xdr:rowOff>
    </xdr:from>
    <xdr:to>
      <xdr:col>16</xdr:col>
      <xdr:colOff>266700</xdr:colOff>
      <xdr:row>20</xdr:row>
      <xdr:rowOff>22860</xdr:rowOff>
    </xdr:to>
    <xdr:graphicFrame macro="">
      <xdr:nvGraphicFramePr>
        <xdr:cNvPr id="2" name="Gráfico 1">
          <a:extLst>
            <a:ext uri="{FF2B5EF4-FFF2-40B4-BE49-F238E27FC236}">
              <a16:creationId xmlns:a16="http://schemas.microsoft.com/office/drawing/2014/main" id="{B691EE50-B2DA-4931-B6DB-07AE58B8CD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1693</xdr:colOff>
      <xdr:row>3</xdr:row>
      <xdr:rowOff>55033</xdr:rowOff>
    </xdr:from>
    <xdr:to>
      <xdr:col>7</xdr:col>
      <xdr:colOff>716280</xdr:colOff>
      <xdr:row>20</xdr:row>
      <xdr:rowOff>16404</xdr:rowOff>
    </xdr:to>
    <xdr:graphicFrame macro="">
      <xdr:nvGraphicFramePr>
        <xdr:cNvPr id="3" name="Gráfico 2">
          <a:extLst>
            <a:ext uri="{FF2B5EF4-FFF2-40B4-BE49-F238E27FC236}">
              <a16:creationId xmlns:a16="http://schemas.microsoft.com/office/drawing/2014/main" id="{83C17A86-FF40-42F4-9DEB-23470D1906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472440</xdr:colOff>
      <xdr:row>1</xdr:row>
      <xdr:rowOff>76200</xdr:rowOff>
    </xdr:from>
    <xdr:to>
      <xdr:col>18</xdr:col>
      <xdr:colOff>534353</xdr:colOff>
      <xdr:row>2</xdr:row>
      <xdr:rowOff>137636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7FC7188-C88B-44CB-B19B-89A6E1B5A4B1}"/>
            </a:ext>
          </a:extLst>
        </xdr:cNvPr>
        <xdr:cNvSpPr/>
      </xdr:nvSpPr>
      <xdr:spPr>
        <a:xfrm>
          <a:off x="12954000" y="257175"/>
          <a:ext cx="1639253" cy="238601"/>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31</xdr:col>
      <xdr:colOff>501720</xdr:colOff>
      <xdr:row>26</xdr:row>
      <xdr:rowOff>152403</xdr:rowOff>
    </xdr:from>
    <xdr:to>
      <xdr:col>40</xdr:col>
      <xdr:colOff>59797</xdr:colOff>
      <xdr:row>40</xdr:row>
      <xdr:rowOff>116668</xdr:rowOff>
    </xdr:to>
    <xdr:graphicFrame macro="">
      <xdr:nvGraphicFramePr>
        <xdr:cNvPr id="58" name="Gráfico 1">
          <a:extLst>
            <a:ext uri="{FF2B5EF4-FFF2-40B4-BE49-F238E27FC236}">
              <a16:creationId xmlns:a16="http://schemas.microsoft.com/office/drawing/2014/main" id="{6FB673E7-C3D1-4DE4-9352-85698EA0A4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552978</xdr:colOff>
      <xdr:row>2</xdr:row>
      <xdr:rowOff>101071</xdr:rowOff>
    </xdr:from>
    <xdr:to>
      <xdr:col>20</xdr:col>
      <xdr:colOff>292100</xdr:colOff>
      <xdr:row>19</xdr:row>
      <xdr:rowOff>101600</xdr:rowOff>
    </xdr:to>
    <xdr:graphicFrame macro="">
      <xdr:nvGraphicFramePr>
        <xdr:cNvPr id="64" name="Chart 3">
          <a:extLst>
            <a:ext uri="{FF2B5EF4-FFF2-40B4-BE49-F238E27FC236}">
              <a16:creationId xmlns:a16="http://schemas.microsoft.com/office/drawing/2014/main" id="{EC1A43B3-084A-4D69-8C06-26A68EF36D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444501</xdr:colOff>
      <xdr:row>2</xdr:row>
      <xdr:rowOff>81489</xdr:rowOff>
    </xdr:from>
    <xdr:to>
      <xdr:col>28</xdr:col>
      <xdr:colOff>66674</xdr:colOff>
      <xdr:row>19</xdr:row>
      <xdr:rowOff>90488</xdr:rowOff>
    </xdr:to>
    <xdr:graphicFrame macro="">
      <xdr:nvGraphicFramePr>
        <xdr:cNvPr id="69" name="Chart 9">
          <a:extLst>
            <a:ext uri="{FF2B5EF4-FFF2-40B4-BE49-F238E27FC236}">
              <a16:creationId xmlns:a16="http://schemas.microsoft.com/office/drawing/2014/main" id="{5A81E03E-BA19-415A-BC3D-1364465D5F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28</xdr:col>
      <xdr:colOff>297180</xdr:colOff>
      <xdr:row>1</xdr:row>
      <xdr:rowOff>137160</xdr:rowOff>
    </xdr:from>
    <xdr:to>
      <xdr:col>30</xdr:col>
      <xdr:colOff>284798</xdr:colOff>
      <xdr:row>3</xdr:row>
      <xdr:rowOff>17303</xdr:rowOff>
    </xdr:to>
    <xdr:sp macro="" textlink="">
      <xdr:nvSpPr>
        <xdr:cNvPr id="70" name="Rectángulo: esquinas redondeadas 9">
          <a:hlinkClick xmlns:r="http://schemas.openxmlformats.org/officeDocument/2006/relationships" r:id="rId4"/>
          <a:extLst>
            <a:ext uri="{FF2B5EF4-FFF2-40B4-BE49-F238E27FC236}">
              <a16:creationId xmlns:a16="http://schemas.microsoft.com/office/drawing/2014/main" id="{A0BECAE5-384D-492B-A229-5E32FC909671}"/>
            </a:ext>
          </a:extLst>
        </xdr:cNvPr>
        <xdr:cNvSpPr/>
      </xdr:nvSpPr>
      <xdr:spPr>
        <a:xfrm>
          <a:off x="12679680" y="320040"/>
          <a:ext cx="1427798" cy="245903"/>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32</xdr:col>
      <xdr:colOff>609842</xdr:colOff>
      <xdr:row>24</xdr:row>
      <xdr:rowOff>21167</xdr:rowOff>
    </xdr:from>
    <xdr:to>
      <xdr:col>41</xdr:col>
      <xdr:colOff>786650</xdr:colOff>
      <xdr:row>41</xdr:row>
      <xdr:rowOff>21166</xdr:rowOff>
    </xdr:to>
    <xdr:graphicFrame macro="">
      <xdr:nvGraphicFramePr>
        <xdr:cNvPr id="65" name="Chart 1">
          <a:extLst>
            <a:ext uri="{FF2B5EF4-FFF2-40B4-BE49-F238E27FC236}">
              <a16:creationId xmlns:a16="http://schemas.microsoft.com/office/drawing/2014/main" id="{E0EA06DB-BDF5-4BE7-BDDB-BC001BC98C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759460</xdr:colOff>
      <xdr:row>2</xdr:row>
      <xdr:rowOff>95249</xdr:rowOff>
    </xdr:from>
    <xdr:to>
      <xdr:col>20</xdr:col>
      <xdr:colOff>571500</xdr:colOff>
      <xdr:row>19</xdr:row>
      <xdr:rowOff>169332</xdr:rowOff>
    </xdr:to>
    <xdr:graphicFrame macro="">
      <xdr:nvGraphicFramePr>
        <xdr:cNvPr id="59" name="Chart 3">
          <a:extLst>
            <a:ext uri="{FF2B5EF4-FFF2-40B4-BE49-F238E27FC236}">
              <a16:creationId xmlns:a16="http://schemas.microsoft.com/office/drawing/2014/main" id="{3997B309-A73C-4F32-93AD-F59EBE41DD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687494</xdr:colOff>
      <xdr:row>2</xdr:row>
      <xdr:rowOff>92711</xdr:rowOff>
    </xdr:from>
    <xdr:to>
      <xdr:col>30</xdr:col>
      <xdr:colOff>381000</xdr:colOff>
      <xdr:row>19</xdr:row>
      <xdr:rowOff>158750</xdr:rowOff>
    </xdr:to>
    <xdr:graphicFrame macro="">
      <xdr:nvGraphicFramePr>
        <xdr:cNvPr id="61" name="Chart 5">
          <a:extLst>
            <a:ext uri="{FF2B5EF4-FFF2-40B4-BE49-F238E27FC236}">
              <a16:creationId xmlns:a16="http://schemas.microsoft.com/office/drawing/2014/main" id="{37D487BE-505C-4F56-9079-EA37AB52B6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31</xdr:col>
      <xdr:colOff>0</xdr:colOff>
      <xdr:row>1</xdr:row>
      <xdr:rowOff>0</xdr:rowOff>
    </xdr:from>
    <xdr:to>
      <xdr:col>32</xdr:col>
      <xdr:colOff>635530</xdr:colOff>
      <xdr:row>2</xdr:row>
      <xdr:rowOff>65670</xdr:rowOff>
    </xdr:to>
    <xdr:sp macro="" textlink="">
      <xdr:nvSpPr>
        <xdr:cNvPr id="66" name="Rectángulo: esquinas redondeadas 5">
          <a:hlinkClick xmlns:r="http://schemas.openxmlformats.org/officeDocument/2006/relationships" r:id="rId4"/>
          <a:extLst>
            <a:ext uri="{FF2B5EF4-FFF2-40B4-BE49-F238E27FC236}">
              <a16:creationId xmlns:a16="http://schemas.microsoft.com/office/drawing/2014/main" id="{39311B47-67AA-4F60-B18E-53F7FFC293FB}"/>
            </a:ext>
          </a:extLst>
        </xdr:cNvPr>
        <xdr:cNvSpPr/>
      </xdr:nvSpPr>
      <xdr:spPr>
        <a:xfrm>
          <a:off x="13652500" y="179917"/>
          <a:ext cx="1439863" cy="24558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xdr:col>
      <xdr:colOff>7257</xdr:colOff>
      <xdr:row>2</xdr:row>
      <xdr:rowOff>142875</xdr:rowOff>
    </xdr:from>
    <xdr:to>
      <xdr:col>10</xdr:col>
      <xdr:colOff>506185</xdr:colOff>
      <xdr:row>20</xdr:row>
      <xdr:rowOff>116116</xdr:rowOff>
    </xdr:to>
    <xdr:graphicFrame macro="">
      <xdr:nvGraphicFramePr>
        <xdr:cNvPr id="29" name="Chart 2">
          <a:extLst>
            <a:ext uri="{FF2B5EF4-FFF2-40B4-BE49-F238E27FC236}">
              <a16:creationId xmlns:a16="http://schemas.microsoft.com/office/drawing/2014/main" id="{5C8FDCB7-85EF-4CB0-8BA8-85509CFE1C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898071</xdr:colOff>
      <xdr:row>1</xdr:row>
      <xdr:rowOff>108857</xdr:rowOff>
    </xdr:from>
    <xdr:to>
      <xdr:col>12</xdr:col>
      <xdr:colOff>496434</xdr:colOff>
      <xdr:row>2</xdr:row>
      <xdr:rowOff>173014</xdr:rowOff>
    </xdr:to>
    <xdr:sp macro="" textlink="">
      <xdr:nvSpPr>
        <xdr:cNvPr id="30" name="Rectángulo: esquinas redondeadas 3">
          <a:hlinkClick xmlns:r="http://schemas.openxmlformats.org/officeDocument/2006/relationships" r:id="rId2"/>
          <a:extLst>
            <a:ext uri="{FF2B5EF4-FFF2-40B4-BE49-F238E27FC236}">
              <a16:creationId xmlns:a16="http://schemas.microsoft.com/office/drawing/2014/main" id="{1C4075D1-75E6-4CDF-9147-805D25C7B3C7}"/>
            </a:ext>
          </a:extLst>
        </xdr:cNvPr>
        <xdr:cNvSpPr/>
      </xdr:nvSpPr>
      <xdr:spPr>
        <a:xfrm>
          <a:off x="8427357" y="108857"/>
          <a:ext cx="1439863" cy="24558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4</xdr:col>
      <xdr:colOff>370567</xdr:colOff>
      <xdr:row>13</xdr:row>
      <xdr:rowOff>160109</xdr:rowOff>
    </xdr:from>
    <xdr:to>
      <xdr:col>16</xdr:col>
      <xdr:colOff>277812</xdr:colOff>
      <xdr:row>32</xdr:row>
      <xdr:rowOff>48532</xdr:rowOff>
    </xdr:to>
    <xdr:graphicFrame macro="">
      <xdr:nvGraphicFramePr>
        <xdr:cNvPr id="2" name="Gráfico 1">
          <a:extLst>
            <a:ext uri="{FF2B5EF4-FFF2-40B4-BE49-F238E27FC236}">
              <a16:creationId xmlns:a16="http://schemas.microsoft.com/office/drawing/2014/main" id="{39B890FA-C0D1-4C3C-A258-4B19DF257D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9</xdr:col>
      <xdr:colOff>114300</xdr:colOff>
      <xdr:row>2</xdr:row>
      <xdr:rowOff>47625</xdr:rowOff>
    </xdr:from>
    <xdr:to>
      <xdr:col>11</xdr:col>
      <xdr:colOff>176213</xdr:colOff>
      <xdr:row>2</xdr:row>
      <xdr:rowOff>307181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E8417C7-1DFB-4234-955C-17041EB40711}"/>
            </a:ext>
          </a:extLst>
        </xdr:cNvPr>
        <xdr:cNvSpPr/>
      </xdr:nvSpPr>
      <xdr:spPr>
        <a:xfrm>
          <a:off x="6457950" y="238125"/>
          <a:ext cx="1585913" cy="25955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0</xdr:colOff>
      <xdr:row>1</xdr:row>
      <xdr:rowOff>85725</xdr:rowOff>
    </xdr:from>
    <xdr:to>
      <xdr:col>11</xdr:col>
      <xdr:colOff>61913</xdr:colOff>
      <xdr:row>1</xdr:row>
      <xdr:rowOff>345281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18E6FA1-295A-40D2-B073-13F454A4A170}"/>
            </a:ext>
          </a:extLst>
        </xdr:cNvPr>
        <xdr:cNvSpPr/>
      </xdr:nvSpPr>
      <xdr:spPr>
        <a:xfrm>
          <a:off x="7048500" y="85725"/>
          <a:ext cx="1585913" cy="25955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0</xdr:colOff>
      <xdr:row>1</xdr:row>
      <xdr:rowOff>85725</xdr:rowOff>
    </xdr:from>
    <xdr:to>
      <xdr:col>15</xdr:col>
      <xdr:colOff>61913</xdr:colOff>
      <xdr:row>1</xdr:row>
      <xdr:rowOff>345281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BBDE3A5-AD56-40B4-B4F2-C618B2DE6402}"/>
            </a:ext>
          </a:extLst>
        </xdr:cNvPr>
        <xdr:cNvSpPr/>
      </xdr:nvSpPr>
      <xdr:spPr>
        <a:xfrm>
          <a:off x="7018020" y="268605"/>
          <a:ext cx="1646873" cy="25955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504825</xdr:colOff>
      <xdr:row>2</xdr:row>
      <xdr:rowOff>57150</xdr:rowOff>
    </xdr:from>
    <xdr:to>
      <xdr:col>9</xdr:col>
      <xdr:colOff>566738</xdr:colOff>
      <xdr:row>2</xdr:row>
      <xdr:rowOff>316706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94B239B-167D-4612-B365-0D7B26B68342}"/>
            </a:ext>
          </a:extLst>
        </xdr:cNvPr>
        <xdr:cNvSpPr/>
      </xdr:nvSpPr>
      <xdr:spPr>
        <a:xfrm>
          <a:off x="5534025" y="247650"/>
          <a:ext cx="1585913" cy="259556"/>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590550</xdr:colOff>
      <xdr:row>1</xdr:row>
      <xdr:rowOff>120015</xdr:rowOff>
    </xdr:from>
    <xdr:to>
      <xdr:col>14</xdr:col>
      <xdr:colOff>648653</xdr:colOff>
      <xdr:row>2</xdr:row>
      <xdr:rowOff>285750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8ADDAF-DE28-4733-9EE3-479257A53D94}"/>
            </a:ext>
          </a:extLst>
        </xdr:cNvPr>
        <xdr:cNvSpPr/>
      </xdr:nvSpPr>
      <xdr:spPr>
        <a:xfrm>
          <a:off x="11106150" y="300990"/>
          <a:ext cx="1639253" cy="346710"/>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664210</xdr:colOff>
      <xdr:row>1</xdr:row>
      <xdr:rowOff>173990</xdr:rowOff>
    </xdr:from>
    <xdr:to>
      <xdr:col>14</xdr:col>
      <xdr:colOff>650558</xdr:colOff>
      <xdr:row>2</xdr:row>
      <xdr:rowOff>304800</xdr:rowOff>
    </xdr:to>
    <xdr:sp macro="" textlink="">
      <xdr:nvSpPr>
        <xdr:cNvPr id="4" name="Rectángulo: esquinas redondeadas 2">
          <a:hlinkClick xmlns:r="http://schemas.openxmlformats.org/officeDocument/2006/relationships" r:id="rId1"/>
          <a:extLst>
            <a:ext uri="{FF2B5EF4-FFF2-40B4-BE49-F238E27FC236}">
              <a16:creationId xmlns:a16="http://schemas.microsoft.com/office/drawing/2014/main" id="{D2776A27-D625-48F9-A778-6E5943C3FE20}"/>
            </a:ext>
          </a:extLst>
        </xdr:cNvPr>
        <xdr:cNvSpPr/>
      </xdr:nvSpPr>
      <xdr:spPr>
        <a:xfrm>
          <a:off x="10922635" y="354965"/>
          <a:ext cx="1596073" cy="311785"/>
        </a:xfrm>
        <a:prstGeom prst="roundRect">
          <a:avLst/>
        </a:prstGeom>
        <a:solidFill>
          <a:schemeClr val="accent6"/>
        </a:solidFill>
        <a:ln>
          <a:solidFill>
            <a:schemeClr val="accent6"/>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ristobal.leiva\AppData\Local\Microsoft\Windows\INetCache\Content.Outlook\I6BOE2BM\20240510%20inf_previsional.xlsx" TargetMode="External"/><Relationship Id="rId1" Type="http://schemas.openxmlformats.org/officeDocument/2006/relationships/externalLinkPath" Target="file:///C:\Users\cristobal.leiva\AppData\Local\Microsoft\Windows\INetCache\Content.Outlook\I6BOE2BM\20240510%20inf_previsional.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cristobal.leiva\AppData\Local\Microsoft\Windows\INetCache\Content.Outlook\I6BOE2BM\20240528%20%20Informalidad%20Previsional%20(002).xlsx" TargetMode="External"/><Relationship Id="rId1" Type="http://schemas.openxmlformats.org/officeDocument/2006/relationships/externalLinkPath" Target="file:///C:\Users\cristobal.leiva\AppData\Local\Microsoft\Windows\INetCache\Content.Outlook\I6BOE2BM\20240528%20%20Informalidad%20Previsional%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_tasas ENE"/>
      <sheetName val="Hoja9"/>
      <sheetName val="inf_categoria"/>
      <sheetName val="inf_grupo"/>
      <sheetName val="id"/>
      <sheetName val="Resumen INF PREVISIONAL"/>
      <sheetName val="CAT_OCUP"/>
      <sheetName val="TIM"/>
      <sheetName val="GRUP_OCUP"/>
      <sheetName val="NIV_EDUC"/>
      <sheetName val="SP"/>
      <sheetName val="ESI"/>
      <sheetName val="Ocupados ENE"/>
      <sheetName val="Cot. Dependientes SP"/>
      <sheetName val="Cot. Independientes SP"/>
      <sheetName val="Cot. Honorarios SP"/>
    </sheetNames>
    <sheetDataSet>
      <sheetData sheetId="0">
        <row r="8">
          <cell r="P8">
            <v>28.535460260893224</v>
          </cell>
          <cell r="R8">
            <v>27.251667745961285</v>
          </cell>
          <cell r="T8">
            <v>30.2929324963158</v>
          </cell>
        </row>
        <row r="9">
          <cell r="P9">
            <v>28.956721460342123</v>
          </cell>
          <cell r="R9">
            <v>27.563007828214776</v>
          </cell>
          <cell r="T9">
            <v>30.874613871296408</v>
          </cell>
        </row>
        <row r="10">
          <cell r="P10">
            <v>29.476631048235003</v>
          </cell>
          <cell r="R10">
            <v>27.948815951837847</v>
          </cell>
          <cell r="T10">
            <v>31.557764529478614</v>
          </cell>
        </row>
        <row r="11">
          <cell r="P11">
            <v>29.621877441797601</v>
          </cell>
          <cell r="R11">
            <v>28.042421747898949</v>
          </cell>
          <cell r="T11">
            <v>31.774652360837756</v>
          </cell>
        </row>
        <row r="12">
          <cell r="P12">
            <v>29.078055486010239</v>
          </cell>
          <cell r="R12">
            <v>27.505993775610747</v>
          </cell>
          <cell r="T12">
            <v>31.225317723725627</v>
          </cell>
        </row>
        <row r="13">
          <cell r="P13">
            <v>28.878431632435593</v>
          </cell>
          <cell r="R13">
            <v>27.483136147224073</v>
          </cell>
          <cell r="T13">
            <v>30.808752823742953</v>
          </cell>
        </row>
        <row r="14">
          <cell r="P14">
            <v>28.625991727158134</v>
          </cell>
          <cell r="R14">
            <v>27.219374135334128</v>
          </cell>
          <cell r="T14">
            <v>30.576736399994044</v>
          </cell>
        </row>
        <row r="15">
          <cell r="P15">
            <v>28.45559455380965</v>
          </cell>
          <cell r="R15">
            <v>27.092229608216762</v>
          </cell>
          <cell r="T15">
            <v>30.345595990458413</v>
          </cell>
        </row>
        <row r="16">
          <cell r="P16">
            <v>28.266910505928895</v>
          </cell>
          <cell r="R16">
            <v>26.887217104905865</v>
          </cell>
          <cell r="T16">
            <v>30.178218893568086</v>
          </cell>
        </row>
        <row r="17">
          <cell r="P17">
            <v>28.03207325857079</v>
          </cell>
          <cell r="R17">
            <v>26.600324608734677</v>
          </cell>
          <cell r="T17">
            <v>30.019202788113336</v>
          </cell>
        </row>
        <row r="18">
          <cell r="P18">
            <v>27.79422701874109</v>
          </cell>
          <cell r="R18">
            <v>26.452692916072017</v>
          </cell>
          <cell r="T18">
            <v>29.663131385797847</v>
          </cell>
        </row>
        <row r="19">
          <cell r="P19">
            <v>27.685020974570822</v>
          </cell>
          <cell r="R19">
            <v>26.461973365583969</v>
          </cell>
          <cell r="T19">
            <v>29.382879931311972</v>
          </cell>
        </row>
        <row r="20">
          <cell r="P20">
            <v>27.732182507483245</v>
          </cell>
          <cell r="R20">
            <v>26.526509594272891</v>
          </cell>
          <cell r="T20">
            <v>29.401845812209508</v>
          </cell>
        </row>
        <row r="21">
          <cell r="P21">
            <v>28.553861191813652</v>
          </cell>
          <cell r="R21">
            <v>27.47342063114057</v>
          </cell>
          <cell r="T21">
            <v>30.033411245147416</v>
          </cell>
        </row>
        <row r="22">
          <cell r="P22">
            <v>29.280289800192932</v>
          </cell>
          <cell r="R22">
            <v>27.931836895111108</v>
          </cell>
          <cell r="T22">
            <v>31.110709594982428</v>
          </cell>
        </row>
        <row r="23">
          <cell r="P23">
            <v>29.097000743552165</v>
          </cell>
          <cell r="R23">
            <v>27.877440806064918</v>
          </cell>
          <cell r="T23">
            <v>30.755049267131458</v>
          </cell>
        </row>
        <row r="24">
          <cell r="P24">
            <v>28.597840849971984</v>
          </cell>
          <cell r="R24">
            <v>27.535714704262155</v>
          </cell>
          <cell r="T24">
            <v>30.050105646589142</v>
          </cell>
        </row>
        <row r="25">
          <cell r="P25">
            <v>27.901697523572505</v>
          </cell>
          <cell r="R25">
            <v>27.232296754017771</v>
          </cell>
          <cell r="T25">
            <v>28.832258962190515</v>
          </cell>
        </row>
        <row r="26">
          <cell r="P26">
            <v>27.919277455259479</v>
          </cell>
          <cell r="R26">
            <v>26.994111971459017</v>
          </cell>
          <cell r="T26">
            <v>29.205475913416894</v>
          </cell>
        </row>
        <row r="27">
          <cell r="P27">
            <v>28.016924326024238</v>
          </cell>
          <cell r="R27">
            <v>26.990806120276783</v>
          </cell>
          <cell r="T27">
            <v>29.43345161440606</v>
          </cell>
        </row>
        <row r="28">
          <cell r="P28">
            <v>28.011587510153269</v>
          </cell>
          <cell r="R28">
            <v>26.891452448670037</v>
          </cell>
          <cell r="T28">
            <v>29.53499215381844</v>
          </cell>
        </row>
        <row r="29">
          <cell r="P29">
            <v>28.137590667591532</v>
          </cell>
          <cell r="R29">
            <v>27.217987053653133</v>
          </cell>
          <cell r="T29">
            <v>29.375662055329531</v>
          </cell>
        </row>
        <row r="30">
          <cell r="P30">
            <v>28.109594682402093</v>
          </cell>
          <cell r="R30">
            <v>27.017737202606423</v>
          </cell>
          <cell r="T30">
            <v>29.579178705260428</v>
          </cell>
        </row>
        <row r="31">
          <cell r="P31">
            <v>28.223688113217648</v>
          </cell>
          <cell r="R31">
            <v>27.208097770175222</v>
          </cell>
          <cell r="T31">
            <v>29.588411436589006</v>
          </cell>
        </row>
        <row r="32">
          <cell r="P32">
            <v>28.104755089342358</v>
          </cell>
          <cell r="R32">
            <v>27.000089725417293</v>
          </cell>
          <cell r="T32">
            <v>29.594365971647047</v>
          </cell>
        </row>
        <row r="33">
          <cell r="P33">
            <v>28.563306250111527</v>
          </cell>
          <cell r="R33">
            <v>27.599088013706975</v>
          </cell>
          <cell r="T33">
            <v>29.873960556421292</v>
          </cell>
        </row>
        <row r="34">
          <cell r="P34">
            <v>29.086933852981879</v>
          </cell>
          <cell r="R34">
            <v>27.977493349868858</v>
          </cell>
          <cell r="T34">
            <v>30.598732958384957</v>
          </cell>
        </row>
        <row r="35">
          <cell r="P35">
            <v>29.308704573064809</v>
          </cell>
          <cell r="R35">
            <v>28.353738311557773</v>
          </cell>
          <cell r="T35">
            <v>30.606062689406333</v>
          </cell>
        </row>
        <row r="36">
          <cell r="P36">
            <v>29.14603650764116</v>
          </cell>
          <cell r="R36">
            <v>28.070421086080749</v>
          </cell>
          <cell r="T36">
            <v>30.597777279365534</v>
          </cell>
        </row>
        <row r="37">
          <cell r="P37">
            <v>29.024479775470731</v>
          </cell>
          <cell r="R37">
            <v>27.6095509457516</v>
          </cell>
          <cell r="T37">
            <v>30.95119187836579</v>
          </cell>
        </row>
        <row r="38">
          <cell r="P38">
            <v>28.856329579163614</v>
          </cell>
          <cell r="R38">
            <v>27.471087545816896</v>
          </cell>
          <cell r="T38">
            <v>30.77960169003175</v>
          </cell>
        </row>
        <row r="39">
          <cell r="P39">
            <v>26.305791683156077</v>
          </cell>
          <cell r="R39">
            <v>25.647373187526277</v>
          </cell>
          <cell r="T39">
            <v>27.244538332085849</v>
          </cell>
        </row>
        <row r="40">
          <cell r="P40">
            <v>23.548172755780186</v>
          </cell>
          <cell r="R40">
            <v>23.253954686065825</v>
          </cell>
          <cell r="T40">
            <v>23.976763680801703</v>
          </cell>
        </row>
        <row r="41">
          <cell r="P41">
            <v>22.362061292105157</v>
          </cell>
          <cell r="R41">
            <v>22.241735374562118</v>
          </cell>
          <cell r="T41">
            <v>22.537001110643157</v>
          </cell>
        </row>
        <row r="42">
          <cell r="P42">
            <v>22.305122108139084</v>
          </cell>
          <cell r="R42">
            <v>21.907470045432394</v>
          </cell>
          <cell r="T42">
            <v>22.877604034520228</v>
          </cell>
        </row>
        <row r="43">
          <cell r="P43">
            <v>22.528965862204135</v>
          </cell>
          <cell r="R43">
            <v>21.753037147903601</v>
          </cell>
          <cell r="T43">
            <v>23.63745052435166</v>
          </cell>
        </row>
        <row r="44">
          <cell r="P44">
            <v>23.488614350308389</v>
          </cell>
          <cell r="R44">
            <v>23.010670528905607</v>
          </cell>
          <cell r="T44">
            <v>24.171547653632949</v>
          </cell>
        </row>
        <row r="45">
          <cell r="P45">
            <v>25.122065194892929</v>
          </cell>
          <cell r="R45">
            <v>24.781356399597531</v>
          </cell>
          <cell r="T45">
            <v>25.614245600389403</v>
          </cell>
        </row>
        <row r="46">
          <cell r="P46">
            <v>26.681234348360405</v>
          </cell>
          <cell r="R46">
            <v>26.975953581692778</v>
          </cell>
          <cell r="T46">
            <v>26.250316281283304</v>
          </cell>
        </row>
        <row r="47">
          <cell r="P47">
            <v>26.977950657301509</v>
          </cell>
          <cell r="R47">
            <v>26.879324066770472</v>
          </cell>
          <cell r="T47">
            <v>27.122707644756112</v>
          </cell>
        </row>
        <row r="48">
          <cell r="P48">
            <v>27.084546322191184</v>
          </cell>
          <cell r="R48">
            <v>26.765519335319006</v>
          </cell>
          <cell r="T48">
            <v>27.549377625643068</v>
          </cell>
        </row>
        <row r="49">
          <cell r="P49">
            <v>26.460219806021986</v>
          </cell>
          <cell r="R49">
            <v>25.814049800243783</v>
          </cell>
          <cell r="T49">
            <v>27.397159996804309</v>
          </cell>
        </row>
        <row r="50">
          <cell r="P50">
            <v>26.687243503725504</v>
          </cell>
          <cell r="R50">
            <v>26.086357878031453</v>
          </cell>
          <cell r="T50">
            <v>27.560144415026635</v>
          </cell>
        </row>
        <row r="51">
          <cell r="P51">
            <v>26.203392631091461</v>
          </cell>
          <cell r="R51">
            <v>25.771326435533641</v>
          </cell>
          <cell r="T51">
            <v>26.832000249881009</v>
          </cell>
        </row>
        <row r="52">
          <cell r="P52">
            <v>26.096297408109091</v>
          </cell>
          <cell r="R52">
            <v>25.640687544629049</v>
          </cell>
          <cell r="T52">
            <v>26.752680875876063</v>
          </cell>
        </row>
        <row r="53">
          <cell r="P53">
            <v>25.96381472455024</v>
          </cell>
          <cell r="R53">
            <v>25.513718739051285</v>
          </cell>
          <cell r="T53">
            <v>26.609913568025824</v>
          </cell>
        </row>
        <row r="54">
          <cell r="P54">
            <v>26.891013251986035</v>
          </cell>
          <cell r="R54">
            <v>26.500764589395821</v>
          </cell>
          <cell r="T54">
            <v>27.44955977339345</v>
          </cell>
        </row>
        <row r="55">
          <cell r="P55">
            <v>27.130015518174645</v>
          </cell>
          <cell r="R55">
            <v>26.956836444843269</v>
          </cell>
          <cell r="T55">
            <v>27.377575260153563</v>
          </cell>
        </row>
        <row r="56">
          <cell r="P56">
            <v>27.648952586632781</v>
          </cell>
          <cell r="R56">
            <v>27.213453464395609</v>
          </cell>
          <cell r="T56">
            <v>28.270336437351112</v>
          </cell>
        </row>
        <row r="57">
          <cell r="P57">
            <v>27.92718273441066</v>
          </cell>
          <cell r="R57">
            <v>27.262853601408583</v>
          </cell>
          <cell r="T57">
            <v>28.863171677108678</v>
          </cell>
        </row>
        <row r="58">
          <cell r="P58">
            <v>28.213103951341889</v>
          </cell>
          <cell r="R58">
            <v>27.045720468551849</v>
          </cell>
          <cell r="T58">
            <v>29.847768263161012</v>
          </cell>
        </row>
        <row r="59">
          <cell r="P59">
            <v>28.278862905396817</v>
          </cell>
          <cell r="R59">
            <v>27.323356515611913</v>
          </cell>
          <cell r="T59">
            <v>29.605847374003108</v>
          </cell>
        </row>
        <row r="60">
          <cell r="P60">
            <v>28.033967905412311</v>
          </cell>
          <cell r="R60">
            <v>27.428685345983396</v>
          </cell>
          <cell r="T60">
            <v>28.877392584959299</v>
          </cell>
        </row>
        <row r="61">
          <cell r="P61">
            <v>27.814109773073021</v>
          </cell>
          <cell r="R61">
            <v>27.534745717589505</v>
          </cell>
          <cell r="T61">
            <v>28.203093872896794</v>
          </cell>
        </row>
        <row r="62">
          <cell r="P62">
            <v>27.267604368477581</v>
          </cell>
          <cell r="R62">
            <v>27.087983871602127</v>
          </cell>
          <cell r="T62">
            <v>27.51825664698746</v>
          </cell>
        </row>
        <row r="63">
          <cell r="P63">
            <v>27.169992859484204</v>
          </cell>
          <cell r="R63">
            <v>26.424990456617714</v>
          </cell>
          <cell r="T63">
            <v>28.196992700745209</v>
          </cell>
        </row>
        <row r="64">
          <cell r="P64">
            <v>27.349169749666636</v>
          </cell>
          <cell r="R64">
            <v>26.586104012358824</v>
          </cell>
          <cell r="T64">
            <v>28.394413818274604</v>
          </cell>
        </row>
        <row r="65">
          <cell r="P65">
            <v>27.108124218716377</v>
          </cell>
          <cell r="R65">
            <v>26.278605944410955</v>
          </cell>
          <cell r="T65">
            <v>28.243272613960752</v>
          </cell>
        </row>
        <row r="66">
          <cell r="P66">
            <v>26.638911205148119</v>
          </cell>
          <cell r="R66">
            <v>25.579424259733031</v>
          </cell>
          <cell r="T66">
            <v>28.074779095762548</v>
          </cell>
        </row>
        <row r="67">
          <cell r="P67">
            <v>26.661142937526179</v>
          </cell>
          <cell r="R67">
            <v>25.4581889379199</v>
          </cell>
          <cell r="T67">
            <v>28.295394619226293</v>
          </cell>
        </row>
        <row r="68">
          <cell r="P68">
            <v>27.062018528346769</v>
          </cell>
          <cell r="R68">
            <v>25.730528053311335</v>
          </cell>
          <cell r="T68">
            <v>28.874696013399902</v>
          </cell>
        </row>
        <row r="69">
          <cell r="P69">
            <v>27.665694292883764</v>
          </cell>
          <cell r="R69">
            <v>26.655079332766675</v>
          </cell>
          <cell r="T69">
            <v>29.050978601588906</v>
          </cell>
        </row>
        <row r="70">
          <cell r="P70">
            <v>27.276881256707323</v>
          </cell>
          <cell r="R70">
            <v>26.537265472955028</v>
          </cell>
          <cell r="T70">
            <v>28.279527452832703</v>
          </cell>
        </row>
        <row r="71">
          <cell r="P71">
            <v>27.367557854656361</v>
          </cell>
          <cell r="R71">
            <v>26.541179828738855</v>
          </cell>
          <cell r="T71">
            <v>28.479191199691449</v>
          </cell>
        </row>
        <row r="72">
          <cell r="P72">
            <v>27.27380591448777</v>
          </cell>
          <cell r="R72">
            <v>26.434371181055976</v>
          </cell>
          <cell r="T72">
            <v>28.403192558514423</v>
          </cell>
        </row>
        <row r="73">
          <cell r="P73">
            <v>27.31326631660858</v>
          </cell>
          <cell r="R73">
            <v>26.070570946522754</v>
          </cell>
          <cell r="T73">
            <v>28.993557172300598</v>
          </cell>
        </row>
        <row r="74">
          <cell r="P74">
            <v>27.448576676904175</v>
          </cell>
          <cell r="R74">
            <v>26.406201501200538</v>
          </cell>
          <cell r="T74">
            <v>28.863354179028377</v>
          </cell>
        </row>
        <row r="75">
          <cell r="P75">
            <v>27.357113273130746</v>
          </cell>
          <cell r="R75">
            <v>26.330314683890194</v>
          </cell>
          <cell r="T75">
            <v>28.75336853176611</v>
          </cell>
        </row>
        <row r="76">
          <cell r="P76">
            <v>27.384369994648484</v>
          </cell>
          <cell r="R76">
            <v>26.472125976924943</v>
          </cell>
          <cell r="T76">
            <v>28.609074965718982</v>
          </cell>
        </row>
        <row r="77">
          <cell r="P77">
            <v>27.17527182769841</v>
          </cell>
          <cell r="R77">
            <v>26.098164313778472</v>
          </cell>
          <cell r="T77">
            <v>28.604167770522356</v>
          </cell>
        </row>
        <row r="78">
          <cell r="P78">
            <v>26.867650936250222</v>
          </cell>
          <cell r="R78">
            <v>25.770346540959999</v>
          </cell>
          <cell r="T78">
            <v>28.311863276021082</v>
          </cell>
        </row>
        <row r="79">
          <cell r="P79">
            <v>26.71958666705574</v>
          </cell>
          <cell r="R79">
            <v>25.548989692024094</v>
          </cell>
          <cell r="T79">
            <v>28.259411609920111</v>
          </cell>
        </row>
        <row r="80">
          <cell r="P80">
            <v>26.676177977484883</v>
          </cell>
          <cell r="R80">
            <v>25.608711263920945</v>
          </cell>
          <cell r="T80">
            <v>28.08225803143144</v>
          </cell>
        </row>
        <row r="81">
          <cell r="P81">
            <v>27.040218556152208</v>
          </cell>
          <cell r="R81">
            <v>25.807940526478873</v>
          </cell>
          <cell r="T81">
            <v>28.65940388243413</v>
          </cell>
        </row>
        <row r="82">
          <cell r="P82">
            <v>27.464028443840682</v>
          </cell>
          <cell r="R82">
            <v>26.394264554816736</v>
          </cell>
          <cell r="T82">
            <v>28.871498180014317</v>
          </cell>
        </row>
        <row r="83">
          <cell r="P83">
            <v>27.531614419693661</v>
          </cell>
          <cell r="R83">
            <v>26.230509776750015</v>
          </cell>
          <cell r="T83">
            <v>29.235627827631273</v>
          </cell>
        </row>
        <row r="84">
          <cell r="P84">
            <v>27.550895972434063</v>
          </cell>
          <cell r="R84">
            <v>26.264968091218272</v>
          </cell>
          <cell r="T84">
            <v>29.237423809728249</v>
          </cell>
        </row>
        <row r="85">
          <cell r="P85">
            <v>27.378800997918983</v>
          </cell>
          <cell r="R85">
            <v>25.975264491265744</v>
          </cell>
          <cell r="T85">
            <v>29.241273771747633</v>
          </cell>
        </row>
        <row r="86">
          <cell r="P86">
            <v>28.088192358267154</v>
          </cell>
          <cell r="R86">
            <v>26.750534904466051</v>
          </cell>
          <cell r="T86">
            <v>29.87997371874717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d"/>
      <sheetName val="Resumen INF PREVISIONAL"/>
      <sheetName val="CAT_OCUP"/>
      <sheetName val="TIM"/>
      <sheetName val="GRUP_OCUP"/>
      <sheetName val="NIV_EDUC"/>
      <sheetName val="SP"/>
      <sheetName val="ESI"/>
      <sheetName val="Ocupados ENE"/>
      <sheetName val="Cot. Dependientes SP"/>
      <sheetName val="Cot. Independientes SP"/>
      <sheetName val="Cot. Honorarios SP"/>
    </sheetNames>
    <sheetDataSet>
      <sheetData sheetId="0">
        <row r="1">
          <cell r="A1" t="str">
            <v>id</v>
          </cell>
          <cell r="B1" t="str">
            <v>categoria_ocupacion</v>
          </cell>
          <cell r="C1" t="str">
            <v>Dependencia</v>
          </cell>
          <cell r="L1" t="str">
            <v>idcine</v>
          </cell>
          <cell r="M1" t="str">
            <v>cine</v>
          </cell>
        </row>
        <row r="2">
          <cell r="A2">
            <v>0</v>
          </cell>
          <cell r="B2" t="str">
            <v>No aplica</v>
          </cell>
          <cell r="C2" t="str">
            <v>No aplica</v>
          </cell>
          <cell r="L2">
            <v>1</v>
          </cell>
          <cell r="M2" t="str">
            <v>Nunca estudió</v>
          </cell>
        </row>
        <row r="3">
          <cell r="A3">
            <v>1</v>
          </cell>
          <cell r="B3" t="str">
            <v>Empleador</v>
          </cell>
          <cell r="C3" t="str">
            <v>Independiente</v>
          </cell>
          <cell r="L3">
            <v>2</v>
          </cell>
          <cell r="M3" t="str">
            <v>Educación preescolar</v>
          </cell>
        </row>
        <row r="4">
          <cell r="A4">
            <v>2</v>
          </cell>
          <cell r="B4" t="str">
            <v>Cuenta propia</v>
          </cell>
          <cell r="C4" t="str">
            <v>Independiente</v>
          </cell>
          <cell r="L4">
            <v>3</v>
          </cell>
          <cell r="M4" t="str">
            <v>Educación primaria (nivel 1)</v>
          </cell>
        </row>
        <row r="5">
          <cell r="A5">
            <v>3</v>
          </cell>
          <cell r="B5" t="str">
            <v>Asalariado sector privado</v>
          </cell>
          <cell r="C5" t="str">
            <v>Dependiente</v>
          </cell>
          <cell r="L5">
            <v>4</v>
          </cell>
          <cell r="M5" t="str">
            <v>Educación primaria (nivel 2)</v>
          </cell>
        </row>
        <row r="6">
          <cell r="A6">
            <v>4</v>
          </cell>
          <cell r="B6" t="str">
            <v>Asalariado sector público</v>
          </cell>
          <cell r="C6" t="str">
            <v>Dependiente</v>
          </cell>
          <cell r="L6">
            <v>5</v>
          </cell>
          <cell r="M6" t="str">
            <v>Educación secundaria</v>
          </cell>
        </row>
        <row r="7">
          <cell r="A7">
            <v>5</v>
          </cell>
          <cell r="B7" t="str">
            <v>Servicio doméstico puertas afuera</v>
          </cell>
          <cell r="C7" t="str">
            <v>Dependiente</v>
          </cell>
          <cell r="L7">
            <v>6</v>
          </cell>
          <cell r="M7" t="str">
            <v>Educación Técnica (Educación Superior no Universitaria)</v>
          </cell>
        </row>
        <row r="8">
          <cell r="A8">
            <v>6</v>
          </cell>
          <cell r="B8" t="str">
            <v>Servicio doméstico puertas adentro</v>
          </cell>
          <cell r="C8" t="str">
            <v>Dependiente</v>
          </cell>
          <cell r="L8">
            <v>7</v>
          </cell>
          <cell r="M8" t="str">
            <v>Educación universitaria</v>
          </cell>
        </row>
        <row r="9">
          <cell r="A9">
            <v>7</v>
          </cell>
          <cell r="B9" t="str">
            <v>Familiar no remunerado</v>
          </cell>
          <cell r="C9" t="str">
            <v>Independiente</v>
          </cell>
          <cell r="L9">
            <v>8</v>
          </cell>
          <cell r="M9" t="str">
            <v>Post títulos y maestría</v>
          </cell>
        </row>
        <row r="10">
          <cell r="L10">
            <v>9</v>
          </cell>
          <cell r="M10" t="str">
            <v>Doctorado</v>
          </cell>
        </row>
        <row r="11">
          <cell r="L11">
            <v>999</v>
          </cell>
          <cell r="M11" t="str">
            <v>Nivel ignorado</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persons/person.xml><?xml version="1.0" encoding="utf-8"?>
<personList xmlns="http://schemas.microsoft.com/office/spreadsheetml/2018/threadedcomments" xmlns:x="http://schemas.openxmlformats.org/spreadsheetml/2006/main">
  <person displayName="Cristóbal Leiva Roco" id="{8D8B6AC7-C8BC-4A22-B880-45F948C15F1F}" userId="S::cristobal.leiva@previsionsocial.gob.cl::fac7daf0-241b-4177-a226-ebed7e1c8d9a"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Verde amarillo">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Verde amarillo">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Verde amarillo">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Verde amarillo">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Verde amarillo">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Verde amarillo">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W36" dT="2024-05-31T12:45:13.50" personId="{8D8B6AC7-C8BC-4A22-B880-45F948C15F1F}" id="{3AE9E2A9-A37B-4574-9B79-A41036A3B039}">
    <text>No se reportan personas ocupadas con este nivel educacional. Por esto, se decide no mostrar en figuras para no sesgar la comparación.</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hyperlink" Target="https://celade.cepal.org/bdcelade/proyecciones/resultados/04_CHL.xlsx" TargetMode="External"/><Relationship Id="rId2" Type="http://schemas.openxmlformats.org/officeDocument/2006/relationships/hyperlink" Target="https://www.spensiones.cl/apps/centroEstadisticas/paginaCuadrosCCEE.php?menu=sest&amp;menuN1=sistpens&amp;menuN2=pilar" TargetMode="External"/><Relationship Id="rId1" Type="http://schemas.openxmlformats.org/officeDocument/2006/relationships/hyperlink" Target="https://si3.bcentral.cl/Siete/ES/Siete/Cuadro/CAP_CCNN/MN_CCNN76/CCNN2018_P0_V2/637801082315858005?cbFechaInicio=2008&amp;cbFechaTermino=2024&amp;cbFrecuencia=ANNUAL&amp;cbCalculo=NONE&amp;cbFechaBase="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dipres.gob.cl/598/articles-386772_doc_pdf.pdf"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1.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2.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3.bin"/></Relationships>
</file>

<file path=xl/worksheets/_rels/sheet28.xml.rels><?xml version="1.0" encoding="UTF-8" standalone="yes"?>
<Relationships xmlns="http://schemas.openxmlformats.org/package/2006/relationships"><Relationship Id="rId2" Type="http://schemas.openxmlformats.org/officeDocument/2006/relationships/hyperlink" Target="https://si3.bcentral.cl/Siete/ES/Siete/Cuadro/CAP_PRECIOS/MN_CAP_PRECIOS/UF_IVP_UTM/UF_IVP_UTM?cbFechaInicio=2008&amp;cbFechaTermino=2024&amp;cbFrecuencia=MONTHLY&amp;cbCalculo=NONE&amp;cbFechaBase=" TargetMode="External"/><Relationship Id="rId1" Type="http://schemas.openxmlformats.org/officeDocument/2006/relationships/hyperlink" Target="https://si3.bcentral.cl/Siete/ES/Siete/Cuadro/CAP_PRECIOS/MN_CAP_PRECIOS/UF_IVP_UTM/UF_IVP_UTM?cbFechaInicio=2008&amp;cbFechaTermino=2024&amp;cbFrecuencia=ANNUAL&amp;cbCalculo=NONE&amp;cbFechaBase=" TargetMode="External"/></Relationships>
</file>

<file path=xl/worksheets/_rels/sheet29.xml.rels><?xml version="1.0" encoding="UTF-8" standalone="yes"?>
<Relationships xmlns="http://schemas.openxmlformats.org/package/2006/relationships"><Relationship Id="rId2" Type="http://schemas.openxmlformats.org/officeDocument/2006/relationships/hyperlink" Target="https://www.dipres.gob.cl/598/articles-386772_doc_pdf.pdf" TargetMode="External"/><Relationship Id="rId1" Type="http://schemas.openxmlformats.org/officeDocument/2006/relationships/hyperlink" Target="https://si3.bcentral.cl/Siete/ES/Siete/Cuadro/CAP_CCNN/MN_CCNN76/CCNN2018_P0_V2/637801082315858005?cbFechaInicio=2008&amp;cbFechaTermino=2024&amp;cbFrecuencia=ANNUAL&amp;cbCalculo=NONE&amp;cbFechaBase="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hyperlink" Target="https://www.spensiones.cl/apps/centroEstadisticas/paginaCuadrosCCEE.php?menu=sest&amp;menuN1=sistpens&amp;menuN2=pilar"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spensiones.cl/apps/centroEstadisticas/paginaCuadrosCCEE.php?menu=sest&amp;menuN1=sistpens&amp;menuN2=pilar"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hyperlink" Target="https://www.ine.gob.cl/docs/default-source/buenas-practicas/clasificaciones/caenes/clasificador/caenes.pdf" TargetMode="Externa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1.xml"/><Relationship Id="rId1" Type="http://schemas.openxmlformats.org/officeDocument/2006/relationships/hyperlink" Target="https://stat.ine.cl/"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4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6.xml"/><Relationship Id="rId4" Type="http://schemas.microsoft.com/office/2017/10/relationships/threadedComment" Target="../threadedComments/threadedComment1.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8.xml.rels><?xml version="1.0" encoding="UTF-8" standalone="yes"?>
<Relationships xmlns="http://schemas.openxmlformats.org/package/2006/relationships"><Relationship Id="rId1" Type="http://schemas.openxmlformats.org/officeDocument/2006/relationships/hyperlink" Target="https://www.spensiones.cl/apps/loadEstadisticas/genEstadAfiliadosCotizantes.php?id=inf_estadistica/aficot/mensual/2024/01/04B.html&amp;p=M&amp;menu=sci&amp;menuN1=cotycot&amp;menuN2=tipcotiz&amp;orden=20&amp;ext=.html"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D028A-0596-4C2E-8A79-767B2E01EE64}">
  <sheetPr>
    <tabColor rgb="FFFFC000"/>
  </sheetPr>
  <dimension ref="B1:K41"/>
  <sheetViews>
    <sheetView showGridLines="0" zoomScale="90" zoomScaleNormal="90" workbookViewId="0"/>
    <sheetView tabSelected="1" workbookViewId="1"/>
  </sheetViews>
  <sheetFormatPr baseColWidth="10" defaultRowHeight="15" x14ac:dyDescent="0.25"/>
  <cols>
    <col min="1" max="2" width="5.140625" customWidth="1"/>
    <col min="3" max="3" width="4.28515625" customWidth="1"/>
    <col min="4" max="4" width="2.28515625" customWidth="1"/>
    <col min="5" max="5" width="25.42578125" customWidth="1"/>
    <col min="6" max="6" width="4.140625" customWidth="1"/>
    <col min="7" max="7" width="6.42578125" customWidth="1"/>
    <col min="8" max="8" width="2.28515625" customWidth="1"/>
    <col min="10" max="10" width="4.28515625" customWidth="1"/>
    <col min="11" max="11" width="14.7109375" customWidth="1"/>
    <col min="12" max="12" width="18.5703125" customWidth="1"/>
    <col min="15" max="16" width="11.5703125" customWidth="1"/>
  </cols>
  <sheetData>
    <row r="1" spans="2:11" ht="15.6" customHeight="1" x14ac:dyDescent="0.25"/>
    <row r="2" spans="2:11" ht="23.25" x14ac:dyDescent="0.25">
      <c r="B2" s="10" t="s">
        <v>653</v>
      </c>
      <c r="D2" s="10"/>
      <c r="H2" s="10"/>
    </row>
    <row r="3" spans="2:11" ht="19.899999999999999" customHeight="1" x14ac:dyDescent="0.3">
      <c r="B3" s="454" t="s">
        <v>640</v>
      </c>
      <c r="C3" s="10"/>
      <c r="D3" s="10"/>
      <c r="H3" s="10"/>
    </row>
    <row r="4" spans="2:11" ht="10.9" customHeight="1" x14ac:dyDescent="0.25">
      <c r="C4" s="15"/>
      <c r="D4" s="14"/>
      <c r="H4" s="14"/>
    </row>
    <row r="5" spans="2:11" ht="6" customHeight="1" x14ac:dyDescent="0.25"/>
    <row r="6" spans="2:11" ht="6" customHeight="1" x14ac:dyDescent="0.25">
      <c r="B6" s="13"/>
      <c r="C6" s="507" t="s">
        <v>89</v>
      </c>
      <c r="D6" s="507"/>
      <c r="E6" s="507"/>
      <c r="F6" s="507"/>
      <c r="G6" s="507"/>
      <c r="H6" s="507"/>
      <c r="I6" s="507"/>
      <c r="J6" s="507"/>
      <c r="K6" s="507"/>
    </row>
    <row r="7" spans="2:11" ht="18.75" customHeight="1" x14ac:dyDescent="0.25">
      <c r="B7" s="13"/>
      <c r="C7" s="507"/>
      <c r="D7" s="507"/>
      <c r="E7" s="507"/>
      <c r="F7" s="507"/>
      <c r="G7" s="507"/>
      <c r="H7" s="507"/>
      <c r="I7" s="507"/>
      <c r="J7" s="507"/>
      <c r="K7" s="507"/>
    </row>
    <row r="8" spans="2:11" ht="11.45" customHeight="1" x14ac:dyDescent="0.35">
      <c r="C8" s="455"/>
    </row>
    <row r="9" spans="2:11" ht="13.5" customHeight="1" x14ac:dyDescent="0.25">
      <c r="B9" s="13"/>
      <c r="C9" s="13"/>
      <c r="D9" s="13"/>
      <c r="E9" s="13"/>
      <c r="G9" s="13"/>
      <c r="H9" s="13"/>
      <c r="I9" s="13"/>
      <c r="J9" s="13"/>
      <c r="K9" s="13"/>
    </row>
    <row r="10" spans="2:11" ht="18.75" x14ac:dyDescent="0.25">
      <c r="B10" s="13"/>
      <c r="C10" s="18" t="s">
        <v>58</v>
      </c>
      <c r="D10" s="19" t="s">
        <v>69</v>
      </c>
      <c r="E10" s="13"/>
      <c r="G10" s="18" t="s">
        <v>59</v>
      </c>
      <c r="H10" s="19" t="s">
        <v>79</v>
      </c>
      <c r="I10" s="19"/>
      <c r="J10" s="13"/>
      <c r="K10" s="13"/>
    </row>
    <row r="11" spans="2:11" ht="18.75" x14ac:dyDescent="0.25">
      <c r="B11" s="13"/>
      <c r="C11" s="18"/>
      <c r="D11" s="19"/>
      <c r="E11" s="13"/>
      <c r="G11" s="18"/>
      <c r="H11" s="19"/>
      <c r="I11" s="13"/>
      <c r="J11" s="13"/>
      <c r="K11" s="13"/>
    </row>
    <row r="12" spans="2:11" x14ac:dyDescent="0.25">
      <c r="B12" s="13"/>
      <c r="C12" s="13"/>
      <c r="D12" s="13" t="s">
        <v>471</v>
      </c>
      <c r="E12" s="20" t="s">
        <v>70</v>
      </c>
      <c r="G12" s="13"/>
      <c r="H12" s="13" t="s">
        <v>471</v>
      </c>
      <c r="I12" s="20" t="s">
        <v>80</v>
      </c>
      <c r="J12" s="363"/>
      <c r="K12" s="20"/>
    </row>
    <row r="13" spans="2:11" x14ac:dyDescent="0.25">
      <c r="B13" s="13"/>
      <c r="C13" s="13"/>
      <c r="D13" s="13" t="s">
        <v>471</v>
      </c>
      <c r="E13" s="20" t="s">
        <v>71</v>
      </c>
      <c r="G13" s="13"/>
      <c r="H13" s="13" t="s">
        <v>471</v>
      </c>
      <c r="I13" s="20" t="s">
        <v>81</v>
      </c>
      <c r="J13" s="363"/>
      <c r="K13" s="20"/>
    </row>
    <row r="14" spans="2:11" x14ac:dyDescent="0.25">
      <c r="B14" s="13"/>
      <c r="C14" s="13"/>
      <c r="D14" s="13" t="s">
        <v>471</v>
      </c>
      <c r="E14" s="20" t="s">
        <v>72</v>
      </c>
      <c r="G14" s="13"/>
      <c r="H14" s="13" t="s">
        <v>471</v>
      </c>
      <c r="I14" s="20" t="s">
        <v>82</v>
      </c>
      <c r="J14" s="363"/>
      <c r="K14" s="20"/>
    </row>
    <row r="15" spans="2:11" x14ac:dyDescent="0.25">
      <c r="B15" s="13"/>
      <c r="C15" s="13"/>
      <c r="D15" s="13" t="s">
        <v>471</v>
      </c>
      <c r="E15" s="20" t="s">
        <v>73</v>
      </c>
      <c r="G15" s="13"/>
      <c r="H15" s="13" t="s">
        <v>471</v>
      </c>
      <c r="I15" s="20" t="s">
        <v>83</v>
      </c>
      <c r="J15" s="363"/>
      <c r="K15" s="20"/>
    </row>
    <row r="16" spans="2:11" x14ac:dyDescent="0.25">
      <c r="B16" s="13"/>
      <c r="C16" s="13"/>
      <c r="D16" s="13" t="s">
        <v>471</v>
      </c>
      <c r="E16" s="20" t="s">
        <v>74</v>
      </c>
      <c r="G16" s="18"/>
      <c r="H16" s="13" t="s">
        <v>471</v>
      </c>
      <c r="I16" s="20" t="s">
        <v>84</v>
      </c>
      <c r="J16" s="363"/>
      <c r="K16" s="20"/>
    </row>
    <row r="17" spans="2:11" x14ac:dyDescent="0.25">
      <c r="B17" s="13"/>
      <c r="C17" s="13"/>
      <c r="D17" s="13" t="s">
        <v>471</v>
      </c>
      <c r="E17" s="20" t="s">
        <v>75</v>
      </c>
      <c r="G17" s="13"/>
      <c r="H17" s="13" t="s">
        <v>471</v>
      </c>
      <c r="I17" s="20" t="s">
        <v>85</v>
      </c>
      <c r="J17" s="363"/>
      <c r="K17" s="20"/>
    </row>
    <row r="18" spans="2:11" x14ac:dyDescent="0.25">
      <c r="B18" s="13"/>
      <c r="C18" s="13"/>
      <c r="D18" s="13" t="s">
        <v>471</v>
      </c>
      <c r="E18" s="20" t="s">
        <v>76</v>
      </c>
      <c r="G18" s="13"/>
      <c r="H18" s="13" t="s">
        <v>471</v>
      </c>
      <c r="I18" s="20" t="s">
        <v>86</v>
      </c>
      <c r="J18" s="13"/>
      <c r="K18" s="13"/>
    </row>
    <row r="19" spans="2:11" x14ac:dyDescent="0.25">
      <c r="B19" s="13"/>
      <c r="C19" s="13"/>
      <c r="D19" s="13" t="s">
        <v>471</v>
      </c>
      <c r="E19" s="20" t="s">
        <v>77</v>
      </c>
      <c r="G19" s="13"/>
      <c r="H19" s="13" t="s">
        <v>471</v>
      </c>
      <c r="I19" s="20" t="s">
        <v>87</v>
      </c>
      <c r="J19" s="13"/>
      <c r="K19" s="13"/>
    </row>
    <row r="20" spans="2:11" x14ac:dyDescent="0.25">
      <c r="B20" s="13"/>
      <c r="C20" s="13"/>
      <c r="D20" s="13" t="s">
        <v>471</v>
      </c>
      <c r="E20" s="20" t="s">
        <v>78</v>
      </c>
      <c r="G20" s="13"/>
      <c r="H20" s="13" t="s">
        <v>471</v>
      </c>
      <c r="I20" s="20" t="s">
        <v>568</v>
      </c>
      <c r="J20" s="13"/>
      <c r="K20" s="13"/>
    </row>
    <row r="21" spans="2:11" x14ac:dyDescent="0.25">
      <c r="B21" s="13"/>
      <c r="C21" s="13"/>
      <c r="D21" s="13" t="s">
        <v>471</v>
      </c>
      <c r="E21" s="20" t="s">
        <v>636</v>
      </c>
      <c r="G21" s="13"/>
      <c r="H21" s="13" t="s">
        <v>471</v>
      </c>
      <c r="I21" s="20" t="s">
        <v>569</v>
      </c>
      <c r="J21" s="13"/>
      <c r="K21" s="13"/>
    </row>
    <row r="22" spans="2:11" x14ac:dyDescent="0.25">
      <c r="B22" s="13"/>
      <c r="C22" s="13"/>
      <c r="D22" s="13" t="s">
        <v>471</v>
      </c>
      <c r="E22" s="20" t="s">
        <v>637</v>
      </c>
      <c r="G22" s="13"/>
      <c r="H22" s="13"/>
      <c r="I22" s="20"/>
      <c r="J22" s="13"/>
      <c r="K22" s="13"/>
    </row>
    <row r="23" spans="2:11" x14ac:dyDescent="0.25">
      <c r="B23" s="13"/>
      <c r="C23" s="13"/>
      <c r="D23" s="13"/>
      <c r="E23" s="20"/>
      <c r="G23" s="13"/>
      <c r="H23" s="13"/>
      <c r="I23" s="20"/>
      <c r="J23" s="13"/>
      <c r="K23" s="13"/>
    </row>
    <row r="24" spans="2:11" x14ac:dyDescent="0.25">
      <c r="B24" s="13"/>
      <c r="C24" s="13"/>
      <c r="D24" s="13"/>
      <c r="E24" s="20"/>
      <c r="G24" s="13"/>
      <c r="H24" s="13"/>
      <c r="I24" s="20"/>
      <c r="J24" s="13"/>
      <c r="K24" s="13"/>
    </row>
    <row r="26" spans="2:11" ht="1.1499999999999999" customHeight="1" x14ac:dyDescent="0.25"/>
    <row r="27" spans="2:11" x14ac:dyDescent="0.25">
      <c r="B27" s="16" t="s">
        <v>693</v>
      </c>
    </row>
    <row r="28" spans="2:11" x14ac:dyDescent="0.25">
      <c r="B28" s="8" t="s">
        <v>60</v>
      </c>
    </row>
    <row r="29" spans="2:11" x14ac:dyDescent="0.25">
      <c r="B29" t="s">
        <v>88</v>
      </c>
    </row>
    <row r="40" spans="8:8" x14ac:dyDescent="0.25">
      <c r="H40" s="16"/>
    </row>
    <row r="41" spans="8:8" x14ac:dyDescent="0.25">
      <c r="H41" s="8"/>
    </row>
  </sheetData>
  <mergeCells count="1">
    <mergeCell ref="C6:K7"/>
  </mergeCells>
  <phoneticPr fontId="3" type="noConversion"/>
  <hyperlinks>
    <hyperlink ref="E12" location="'Tabla 1'!A1" display="Total beneficios" xr:uid="{F284EC44-5A2B-42F9-8B9E-258041BD2808}"/>
    <hyperlink ref="E13" location="'Tabla 2'!A1" display="Tabla 2" xr:uid="{7ACC7CBE-15F4-4BBB-8400-7FE86AA48FF1}"/>
    <hyperlink ref="E14" location="'Tabla 3'!A1" display="Tabla 3" xr:uid="{BBF6EC29-638A-4F8E-9F62-8843DF841F95}"/>
    <hyperlink ref="E15" location="'Tabla 4'!A1" display="Tabla 4" xr:uid="{C5B50941-2A4D-4F21-957A-69924EDD4252}"/>
    <hyperlink ref="E16" location="'Tabla 5'!A1" display="Tabla 5" xr:uid="{FA11D7BD-179A-4158-9FBD-C0B5EE7EF0BC}"/>
    <hyperlink ref="E17" location="'Tabla 6'!A1" display="Tabla 6" xr:uid="{BBFB9039-96C3-4618-B02D-E0E9EF72586F}"/>
    <hyperlink ref="E18" location="'Tabla 7'!A1" display="Tabla 7" xr:uid="{AB4B053C-C55B-4650-B835-F6D1DCC06F11}"/>
    <hyperlink ref="E19" location="'Tabla 8'!A1" display="Tabla 8" xr:uid="{0FDB5D92-B5D5-41A6-B269-25C0D0995F8D}"/>
    <hyperlink ref="E20" location="'Tabla 9'!A1" display="Tabla 9" xr:uid="{C714AAD5-FF47-4AB2-B666-03D5BC9807AF}"/>
    <hyperlink ref="E21" location="'Tabla 14 (Anexo 1)'!A1" display="Tabla 14" xr:uid="{BB4D76D6-DAEA-4706-9F03-4502614E834B}"/>
    <hyperlink ref="E22" location="'Tabla 15 (Anexo 2)'!A1" display="Tabla 15" xr:uid="{726C2AE6-89EA-49A7-B0F2-F19983652A20}"/>
    <hyperlink ref="J20:J24" location="'Gasto del Sistema'!A1" display="Gasto anual nominal y real" xr:uid="{C70CE081-C180-4587-B320-6FA0C0305CB8}"/>
    <hyperlink ref="I21" location="'Figura 10'!A1" display="Figura 10" xr:uid="{660F804C-43C8-41B9-ACDE-6230FB093AFB}"/>
    <hyperlink ref="I20" location="'Figura 9'!A1" display="Figura 9" xr:uid="{7776C700-DC5D-4328-83DF-90EED067D7C6}"/>
    <hyperlink ref="I19" location="'Figura 8'!A1" display="Figura 8" xr:uid="{E97A945A-B997-483E-9820-922872AA0E3B}"/>
    <hyperlink ref="I18" location="'Figura 7'!A1" display="Figura 7" xr:uid="{55F11863-ECC0-45F2-B810-BE5E9F9F463B}"/>
    <hyperlink ref="I17" location="'Figura 6'!A1" display="Figura 6" xr:uid="{8840A008-ECA5-40D1-99CA-BFC6F0A7B138}"/>
    <hyperlink ref="I16" location="'Figura 5'!A1" display="Figura 5" xr:uid="{B086F95F-5FC8-449A-8909-9C9B9E2BE08D}"/>
    <hyperlink ref="I15" location="'Figura 4'!A1" display="Figura 4" xr:uid="{7F2F0D51-EFE2-4A04-9D54-17A2309B3810}"/>
    <hyperlink ref="I14" location="'Figura 3'!A1" display="Figura 3" xr:uid="{5FDFDBE6-6427-40FA-AF4B-9120BDE96DC2}"/>
    <hyperlink ref="I12" location="'Figura 1'!A1" display="Figura 1" xr:uid="{EC25D098-E65C-4053-BABB-297D515EC7D1}"/>
    <hyperlink ref="I13" location="'Figura 2'!A1" display="Figura 2" xr:uid="{0467C07F-F473-45D3-9BE6-E1E38A20BDC2}"/>
    <hyperlink ref="E24" location="'Tabla 14 (Anexo 1)'!A1" display="Tabla 14" xr:uid="{F36D19DF-8983-4610-B9A6-46D77F4F576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1D685-A16B-402D-B1D3-A5B08C733F30}">
  <sheetPr>
    <tabColor rgb="FF009999"/>
  </sheetPr>
  <dimension ref="B2:N22"/>
  <sheetViews>
    <sheetView showGridLines="0" workbookViewId="0"/>
    <sheetView workbookViewId="1"/>
  </sheetViews>
  <sheetFormatPr baseColWidth="10" defaultRowHeight="15" x14ac:dyDescent="0.25"/>
  <cols>
    <col min="1" max="1" width="5.7109375" customWidth="1"/>
    <col min="2" max="2" width="10.7109375" bestFit="1" customWidth="1"/>
    <col min="3" max="5" width="13" bestFit="1" customWidth="1"/>
    <col min="6" max="7" width="14.5703125" bestFit="1" customWidth="1"/>
    <col min="8" max="8" width="10.42578125" customWidth="1"/>
    <col min="9" max="11" width="14.5703125" bestFit="1" customWidth="1"/>
    <col min="12" max="13" width="11.85546875" customWidth="1"/>
  </cols>
  <sheetData>
    <row r="2" spans="2:12" x14ac:dyDescent="0.25">
      <c r="B2" s="532" t="s">
        <v>664</v>
      </c>
      <c r="C2" s="509"/>
      <c r="D2" s="509"/>
      <c r="E2" s="509"/>
      <c r="F2" s="509"/>
      <c r="G2" s="509"/>
      <c r="H2" s="509"/>
      <c r="I2" s="509"/>
      <c r="J2" s="509"/>
      <c r="K2" s="509"/>
      <c r="L2" s="509"/>
    </row>
    <row r="3" spans="2:12" ht="27.6" customHeight="1" x14ac:dyDescent="0.25">
      <c r="B3" s="52" t="s">
        <v>135</v>
      </c>
      <c r="C3" s="62" t="s">
        <v>136</v>
      </c>
      <c r="D3" s="62" t="s">
        <v>137</v>
      </c>
      <c r="E3" s="40" t="s">
        <v>99</v>
      </c>
      <c r="F3" s="62" t="s">
        <v>138</v>
      </c>
      <c r="G3" s="62" t="s">
        <v>139</v>
      </c>
      <c r="H3" s="62" t="s">
        <v>140</v>
      </c>
      <c r="I3" s="62" t="s">
        <v>141</v>
      </c>
      <c r="J3" s="52" t="s">
        <v>100</v>
      </c>
      <c r="K3" s="40" t="s">
        <v>142</v>
      </c>
      <c r="L3" s="40" t="s">
        <v>143</v>
      </c>
    </row>
    <row r="4" spans="2:12" x14ac:dyDescent="0.25">
      <c r="B4" s="30">
        <f>'AUX Gasto Real'!B6</f>
        <v>2008</v>
      </c>
      <c r="C4" s="28">
        <f>'AUX Gasto Real'!C6</f>
        <v>133382.01941709613</v>
      </c>
      <c r="D4" s="28">
        <f>'AUX Gasto Real'!D6</f>
        <v>285.22509804676326</v>
      </c>
      <c r="E4" s="46">
        <f>'AUX Gasto Real'!E6</f>
        <v>133667.2445151429</v>
      </c>
      <c r="F4" s="28">
        <f>'AUX Gasto Real'!F6</f>
        <v>231142.5019147385</v>
      </c>
      <c r="G4" s="28">
        <f>'AUX Gasto Real'!G6</f>
        <v>2170.4224805449007</v>
      </c>
      <c r="H4" s="28">
        <f>'AUX Gasto Real'!H6</f>
        <v>0</v>
      </c>
      <c r="I4" s="28">
        <f>'AUX Gasto Real'!I6</f>
        <v>0</v>
      </c>
      <c r="J4" s="46">
        <f>'AUX Gasto Real'!J6</f>
        <v>233312.92439528339</v>
      </c>
      <c r="K4" s="46">
        <f>'AUX Gasto Real'!K6</f>
        <v>366980.16891042632</v>
      </c>
      <c r="L4" s="78">
        <f>'AUX Gasto Real'!L6</f>
        <v>2.0130867473433628E-3</v>
      </c>
    </row>
    <row r="5" spans="2:12" x14ac:dyDescent="0.25">
      <c r="B5" s="30">
        <f>'AUX Gasto Real'!B7</f>
        <v>2009</v>
      </c>
      <c r="C5" s="28">
        <f>'AUX Gasto Real'!C7</f>
        <v>337361.84598013829</v>
      </c>
      <c r="D5" s="28">
        <f>'AUX Gasto Real'!D7</f>
        <v>8218.3536725750637</v>
      </c>
      <c r="E5" s="46">
        <f>'AUX Gasto Real'!E7</f>
        <v>345580.19965271337</v>
      </c>
      <c r="F5" s="28">
        <f>'AUX Gasto Real'!F7</f>
        <v>598089.57000372466</v>
      </c>
      <c r="G5" s="28">
        <f>'AUX Gasto Real'!G7</f>
        <v>50870.371412781795</v>
      </c>
      <c r="H5" s="28">
        <f>'AUX Gasto Real'!H7</f>
        <v>0</v>
      </c>
      <c r="I5" s="28">
        <f>'AUX Gasto Real'!I7</f>
        <v>0</v>
      </c>
      <c r="J5" s="46">
        <f>'AUX Gasto Real'!J7</f>
        <v>648959.94141650642</v>
      </c>
      <c r="K5" s="46">
        <f>'AUX Gasto Real'!K7</f>
        <v>994540.1410692198</v>
      </c>
      <c r="L5" s="78">
        <f>'AUX Gasto Real'!L7</f>
        <v>5.4774924170145232E-3</v>
      </c>
    </row>
    <row r="6" spans="2:12" x14ac:dyDescent="0.25">
      <c r="B6" s="30">
        <f>'AUX Gasto Real'!B8</f>
        <v>2010</v>
      </c>
      <c r="C6" s="28">
        <f>'AUX Gasto Real'!C8</f>
        <v>380087.6734037791</v>
      </c>
      <c r="D6" s="28">
        <f>'AUX Gasto Real'!D8</f>
        <v>25550.028392925604</v>
      </c>
      <c r="E6" s="46">
        <f>'AUX Gasto Real'!E8</f>
        <v>405637.70179670473</v>
      </c>
      <c r="F6" s="28">
        <f>'AUX Gasto Real'!F8</f>
        <v>696063.6936675926</v>
      </c>
      <c r="G6" s="28">
        <f>'AUX Gasto Real'!G8</f>
        <v>219391.09592730633</v>
      </c>
      <c r="H6" s="28">
        <f>'AUX Gasto Real'!H8</f>
        <v>0</v>
      </c>
      <c r="I6" s="28">
        <f>'AUX Gasto Real'!I8</f>
        <v>0</v>
      </c>
      <c r="J6" s="46">
        <f>'AUX Gasto Real'!J8</f>
        <v>915454.78959489893</v>
      </c>
      <c r="K6" s="46">
        <f>'AUX Gasto Real'!K8</f>
        <v>1321092.4913916036</v>
      </c>
      <c r="L6" s="78">
        <f>'AUX Gasto Real'!L8</f>
        <v>6.3638857369463205E-3</v>
      </c>
    </row>
    <row r="7" spans="2:12" x14ac:dyDescent="0.25">
      <c r="B7" s="30">
        <f>'AUX Gasto Real'!B9</f>
        <v>2011</v>
      </c>
      <c r="C7" s="28">
        <f>'AUX Gasto Real'!C9</f>
        <v>371864.34508128476</v>
      </c>
      <c r="D7" s="28">
        <f>'AUX Gasto Real'!D9</f>
        <v>39843.459823671517</v>
      </c>
      <c r="E7" s="46">
        <f>'AUX Gasto Real'!E9</f>
        <v>411707.80490495625</v>
      </c>
      <c r="F7" s="28">
        <f>'AUX Gasto Real'!F9</f>
        <v>694053.52594175783</v>
      </c>
      <c r="G7" s="28">
        <f>'AUX Gasto Real'!G9</f>
        <v>379592.90564756282</v>
      </c>
      <c r="H7" s="28">
        <f>'AUX Gasto Real'!H9</f>
        <v>0</v>
      </c>
      <c r="I7" s="28">
        <f>'AUX Gasto Real'!I9</f>
        <v>0</v>
      </c>
      <c r="J7" s="46">
        <f>'AUX Gasto Real'!J9</f>
        <v>1073646.4315893208</v>
      </c>
      <c r="K7" s="46">
        <f>'AUX Gasto Real'!K9</f>
        <v>1485354.2364942771</v>
      </c>
      <c r="L7" s="78">
        <f>'AUX Gasto Real'!L9</f>
        <v>6.7310747730596841E-3</v>
      </c>
    </row>
    <row r="8" spans="2:12" x14ac:dyDescent="0.25">
      <c r="B8" s="30">
        <f>'AUX Gasto Real'!B10</f>
        <v>2012</v>
      </c>
      <c r="C8" s="28">
        <f>'AUX Gasto Real'!C10</f>
        <v>354300.08982050134</v>
      </c>
      <c r="D8" s="28">
        <f>'AUX Gasto Real'!D10</f>
        <v>57627.258358684485</v>
      </c>
      <c r="E8" s="46">
        <f>'AUX Gasto Real'!E10</f>
        <v>411927.34817918582</v>
      </c>
      <c r="F8" s="28">
        <f>'AUX Gasto Real'!F10</f>
        <v>689332.99556175852</v>
      </c>
      <c r="G8" s="28">
        <f>'AUX Gasto Real'!G10</f>
        <v>494261.44185574318</v>
      </c>
      <c r="H8" s="28">
        <f>'AUX Gasto Real'!H10</f>
        <v>0</v>
      </c>
      <c r="I8" s="28">
        <f>'AUX Gasto Real'!I10</f>
        <v>0</v>
      </c>
      <c r="J8" s="46">
        <f>'AUX Gasto Real'!J10</f>
        <v>1183594.4374175016</v>
      </c>
      <c r="K8" s="46">
        <f>'AUX Gasto Real'!K10</f>
        <v>1595521.7855966873</v>
      </c>
      <c r="L8" s="78">
        <f>'AUX Gasto Real'!L10</f>
        <v>6.992282925833238E-3</v>
      </c>
    </row>
    <row r="9" spans="2:12" x14ac:dyDescent="0.25">
      <c r="B9" s="30">
        <f>'AUX Gasto Real'!B11</f>
        <v>2013</v>
      </c>
      <c r="C9" s="28">
        <f>'AUX Gasto Real'!C11</f>
        <v>331856.25672827614</v>
      </c>
      <c r="D9" s="28">
        <f>'AUX Gasto Real'!D11</f>
        <v>78647.009661106786</v>
      </c>
      <c r="E9" s="46">
        <f>'AUX Gasto Real'!E11</f>
        <v>410503.26638938294</v>
      </c>
      <c r="F9" s="28">
        <f>'AUX Gasto Real'!F11</f>
        <v>687105.46907641599</v>
      </c>
      <c r="G9" s="28">
        <f>'AUX Gasto Real'!G11</f>
        <v>566853.69054803613</v>
      </c>
      <c r="H9" s="28">
        <f>'AUX Gasto Real'!H11</f>
        <v>0</v>
      </c>
      <c r="I9" s="28">
        <f>'AUX Gasto Real'!I11</f>
        <v>0</v>
      </c>
      <c r="J9" s="46">
        <f>'AUX Gasto Real'!J11</f>
        <v>1253959.1596244522</v>
      </c>
      <c r="K9" s="46">
        <f>'AUX Gasto Real'!K11</f>
        <v>1664462.4260138352</v>
      </c>
      <c r="L9" s="78">
        <f>'AUX Gasto Real'!L11</f>
        <v>7.0214338774907594E-3</v>
      </c>
    </row>
    <row r="10" spans="2:12" x14ac:dyDescent="0.25">
      <c r="B10" s="30">
        <f>'AUX Gasto Real'!B12</f>
        <v>2014</v>
      </c>
      <c r="C10" s="28">
        <f>'AUX Gasto Real'!C12</f>
        <v>312170.07980282494</v>
      </c>
      <c r="D10" s="28">
        <f>'AUX Gasto Real'!D12</f>
        <v>97868.764840738149</v>
      </c>
      <c r="E10" s="46">
        <f>'AUX Gasto Real'!E12</f>
        <v>410038.84464356309</v>
      </c>
      <c r="F10" s="28">
        <f>'AUX Gasto Real'!F12</f>
        <v>674886.04031771072</v>
      </c>
      <c r="G10" s="28">
        <f>'AUX Gasto Real'!G12</f>
        <v>625019.38206509419</v>
      </c>
      <c r="H10" s="28">
        <f>'AUX Gasto Real'!H12</f>
        <v>0</v>
      </c>
      <c r="I10" s="28">
        <f>'AUX Gasto Real'!I12</f>
        <v>0</v>
      </c>
      <c r="J10" s="46">
        <f>'AUX Gasto Real'!J12</f>
        <v>1299905.422382805</v>
      </c>
      <c r="K10" s="46">
        <f>'AUX Gasto Real'!K12</f>
        <v>1709944.2670263681</v>
      </c>
      <c r="L10" s="78">
        <f>'AUX Gasto Real'!L12</f>
        <v>6.979837809028837E-3</v>
      </c>
    </row>
    <row r="11" spans="2:12" x14ac:dyDescent="0.25">
      <c r="B11" s="30">
        <f>'AUX Gasto Real'!B13</f>
        <v>2015</v>
      </c>
      <c r="C11" s="28">
        <f>'AUX Gasto Real'!C13</f>
        <v>308353.56946310587</v>
      </c>
      <c r="D11" s="28">
        <f>'AUX Gasto Real'!D13</f>
        <v>103510.27496004474</v>
      </c>
      <c r="E11" s="46">
        <f>'AUX Gasto Real'!E13</f>
        <v>411863.84442315064</v>
      </c>
      <c r="F11" s="28">
        <f>'AUX Gasto Real'!F13</f>
        <v>672710.39242733293</v>
      </c>
      <c r="G11" s="28">
        <f>'AUX Gasto Real'!G13</f>
        <v>693600.58664647723</v>
      </c>
      <c r="H11" s="28">
        <f>'AUX Gasto Real'!H13</f>
        <v>0</v>
      </c>
      <c r="I11" s="28">
        <f>'AUX Gasto Real'!I13</f>
        <v>0</v>
      </c>
      <c r="J11" s="46">
        <f>'AUX Gasto Real'!J13</f>
        <v>1366310.9790738102</v>
      </c>
      <c r="K11" s="46">
        <f>'AUX Gasto Real'!K13</f>
        <v>1778174.8234969608</v>
      </c>
      <c r="L11" s="78">
        <f>'AUX Gasto Real'!L13</f>
        <v>7.0699270574187479E-3</v>
      </c>
    </row>
    <row r="12" spans="2:12" x14ac:dyDescent="0.25">
      <c r="B12" s="30">
        <f>'AUX Gasto Real'!B14</f>
        <v>2016</v>
      </c>
      <c r="C12" s="28">
        <f>'AUX Gasto Real'!C14</f>
        <v>312004.60404871509</v>
      </c>
      <c r="D12" s="28">
        <f>'AUX Gasto Real'!D14</f>
        <v>103574.12468646867</v>
      </c>
      <c r="E12" s="46">
        <f>'AUX Gasto Real'!E14</f>
        <v>415578.72873518377</v>
      </c>
      <c r="F12" s="28">
        <f>'AUX Gasto Real'!F14</f>
        <v>674112.64967612387</v>
      </c>
      <c r="G12" s="28">
        <f>'AUX Gasto Real'!G14</f>
        <v>754621.11882110825</v>
      </c>
      <c r="H12" s="28">
        <f>'AUX Gasto Real'!H14</f>
        <v>0</v>
      </c>
      <c r="I12" s="28">
        <f>'AUX Gasto Real'!I14</f>
        <v>0</v>
      </c>
      <c r="J12" s="46">
        <f>'AUX Gasto Real'!J14</f>
        <v>1428733.7684972321</v>
      </c>
      <c r="K12" s="46">
        <f>'AUX Gasto Real'!K14</f>
        <v>1844312.4972324159</v>
      </c>
      <c r="L12" s="78">
        <f>'AUX Gasto Real'!L14</f>
        <v>7.1678560609699767E-3</v>
      </c>
    </row>
    <row r="13" spans="2:12" x14ac:dyDescent="0.25">
      <c r="B13" s="30">
        <f>'AUX Gasto Real'!B15</f>
        <v>2017</v>
      </c>
      <c r="C13" s="28">
        <f>'AUX Gasto Real'!C15</f>
        <v>346454.44614435203</v>
      </c>
      <c r="D13" s="28">
        <f>'AUX Gasto Real'!D15</f>
        <v>114638.61588031672</v>
      </c>
      <c r="E13" s="46">
        <f>'AUX Gasto Real'!E15</f>
        <v>461093.06202466873</v>
      </c>
      <c r="F13" s="28">
        <f>'AUX Gasto Real'!F15</f>
        <v>748454.16607907135</v>
      </c>
      <c r="G13" s="28">
        <f>'AUX Gasto Real'!G15</f>
        <v>897808.41625939368</v>
      </c>
      <c r="H13" s="28">
        <f>'AUX Gasto Real'!H15</f>
        <v>0</v>
      </c>
      <c r="I13" s="28">
        <f>'AUX Gasto Real'!I15</f>
        <v>0</v>
      </c>
      <c r="J13" s="46">
        <f>'AUX Gasto Real'!J15</f>
        <v>1646262.5823384649</v>
      </c>
      <c r="K13" s="46">
        <f>'AUX Gasto Real'!K15</f>
        <v>2107355.6443631337</v>
      </c>
      <c r="L13" s="78">
        <f>'AUX Gasto Real'!L15</f>
        <v>7.8709813163413793E-3</v>
      </c>
    </row>
    <row r="14" spans="2:12" x14ac:dyDescent="0.25">
      <c r="B14" s="30">
        <f>'AUX Gasto Real'!B16</f>
        <v>2018</v>
      </c>
      <c r="C14" s="28">
        <f>'AUX Gasto Real'!C16</f>
        <v>347296.80058811576</v>
      </c>
      <c r="D14" s="28">
        <f>'AUX Gasto Real'!D16</f>
        <v>116562.04651260341</v>
      </c>
      <c r="E14" s="46">
        <f>'AUX Gasto Real'!E16</f>
        <v>463858.84710071917</v>
      </c>
      <c r="F14" s="28">
        <f>'AUX Gasto Real'!F16</f>
        <v>753124.72692686669</v>
      </c>
      <c r="G14" s="28">
        <f>'AUX Gasto Real'!G16</f>
        <v>998823.40098991024</v>
      </c>
      <c r="H14" s="28">
        <f>'AUX Gasto Real'!H16</f>
        <v>0</v>
      </c>
      <c r="I14" s="28">
        <f>'AUX Gasto Real'!I16</f>
        <v>0</v>
      </c>
      <c r="J14" s="46">
        <f>'AUX Gasto Real'!J16</f>
        <v>1751948.127916777</v>
      </c>
      <c r="K14" s="46">
        <f>'AUX Gasto Real'!K16</f>
        <v>2215806.9750174964</v>
      </c>
      <c r="L14" s="78">
        <f>'AUX Gasto Real'!L16</f>
        <v>8.0089957052014386E-3</v>
      </c>
    </row>
    <row r="15" spans="2:12" x14ac:dyDescent="0.25">
      <c r="B15" s="30">
        <f>'AUX Gasto Real'!B17</f>
        <v>2019</v>
      </c>
      <c r="C15" s="28">
        <f>'AUX Gasto Real'!C17</f>
        <v>353172.17795108474</v>
      </c>
      <c r="D15" s="28">
        <f>'AUX Gasto Real'!D17</f>
        <v>122110.33560625042</v>
      </c>
      <c r="E15" s="46">
        <f>'AUX Gasto Real'!E17</f>
        <v>475282.51355733513</v>
      </c>
      <c r="F15" s="28">
        <f>'AUX Gasto Real'!F17</f>
        <v>779677.63708323252</v>
      </c>
      <c r="G15" s="28">
        <f>'AUX Gasto Real'!G17</f>
        <v>1150743.5595056231</v>
      </c>
      <c r="H15" s="28">
        <f>'AUX Gasto Real'!H17</f>
        <v>0</v>
      </c>
      <c r="I15" s="28">
        <f>'AUX Gasto Real'!I17</f>
        <v>0</v>
      </c>
      <c r="J15" s="46">
        <f>'AUX Gasto Real'!J17</f>
        <v>1930421.1965888557</v>
      </c>
      <c r="K15" s="46">
        <f>'AUX Gasto Real'!K17</f>
        <v>2405703.7101461906</v>
      </c>
      <c r="L15" s="78">
        <f>'AUX Gasto Real'!L17</f>
        <v>8.637797261648119E-3</v>
      </c>
    </row>
    <row r="16" spans="2:12" x14ac:dyDescent="0.25">
      <c r="B16" s="30">
        <f>'AUX Gasto Real'!B18</f>
        <v>2020</v>
      </c>
      <c r="C16" s="28">
        <f>'AUX Gasto Real'!C18</f>
        <v>422937.60520481807</v>
      </c>
      <c r="D16" s="28">
        <f>'AUX Gasto Real'!D18</f>
        <v>153174.39207531128</v>
      </c>
      <c r="E16" s="46">
        <f>'AUX Gasto Real'!E18</f>
        <v>576111.99728012935</v>
      </c>
      <c r="F16" s="28">
        <f>'AUX Gasto Real'!F18</f>
        <v>1006310.3904587815</v>
      </c>
      <c r="G16" s="28">
        <f>'AUX Gasto Real'!G18</f>
        <v>1791796.6007255632</v>
      </c>
      <c r="H16" s="28">
        <f>'AUX Gasto Real'!H18</f>
        <v>3.9884498943779243</v>
      </c>
      <c r="I16" s="28">
        <f>'AUX Gasto Real'!I18</f>
        <v>0</v>
      </c>
      <c r="J16" s="46">
        <f>'AUX Gasto Real'!J18</f>
        <v>2798110.9796342389</v>
      </c>
      <c r="K16" s="46">
        <f>'AUX Gasto Real'!K18</f>
        <v>3374222.9769143681</v>
      </c>
      <c r="L16" s="78">
        <f>'AUX Gasto Real'!L18</f>
        <v>1.2118999945376043E-2</v>
      </c>
    </row>
    <row r="17" spans="2:14" x14ac:dyDescent="0.25">
      <c r="B17" s="30">
        <f>'AUX Gasto Real'!B19</f>
        <v>2021</v>
      </c>
      <c r="C17" s="28">
        <f>'AUX Gasto Real'!C19</f>
        <v>466810.67066154012</v>
      </c>
      <c r="D17" s="28">
        <f>'AUX Gasto Real'!D19</f>
        <v>181647.10358225534</v>
      </c>
      <c r="E17" s="46">
        <f>'AUX Gasto Real'!E19</f>
        <v>648457.77424379543</v>
      </c>
      <c r="F17" s="28">
        <f>'AUX Gasto Real'!F19</f>
        <v>1092602.053063127</v>
      </c>
      <c r="G17" s="28">
        <f>'AUX Gasto Real'!G19</f>
        <v>2222252.8379773414</v>
      </c>
      <c r="H17" s="28">
        <f>'AUX Gasto Real'!H19</f>
        <v>11.230541936543176</v>
      </c>
      <c r="I17" s="28">
        <f>'AUX Gasto Real'!I19</f>
        <v>0</v>
      </c>
      <c r="J17" s="46">
        <f>'AUX Gasto Real'!J19</f>
        <v>3314866.1215824052</v>
      </c>
      <c r="K17" s="46">
        <f>'AUX Gasto Real'!K19</f>
        <v>3963323.8958262005</v>
      </c>
      <c r="L17" s="78">
        <f>'AUX Gasto Real'!L19</f>
        <v>1.2435004366642983E-2</v>
      </c>
    </row>
    <row r="18" spans="2:14" x14ac:dyDescent="0.25">
      <c r="B18" s="30">
        <f>'AUX Gasto Real'!B20</f>
        <v>2022</v>
      </c>
      <c r="C18" s="28">
        <f>'AUX Gasto Real'!C20</f>
        <v>500736.75302038208</v>
      </c>
      <c r="D18" s="28">
        <f>'AUX Gasto Real'!D20</f>
        <v>208718.6282944252</v>
      </c>
      <c r="E18" s="46">
        <f>'AUX Gasto Real'!E20</f>
        <v>709455.38131480734</v>
      </c>
      <c r="F18" s="28">
        <f>'AUX Gasto Real'!F20</f>
        <v>93089.93918399181</v>
      </c>
      <c r="G18" s="28">
        <f>'AUX Gasto Real'!G20</f>
        <v>748964.05180034228</v>
      </c>
      <c r="H18" s="28">
        <f>'AUX Gasto Real'!H20</f>
        <v>1.3205065073719209</v>
      </c>
      <c r="I18" s="28">
        <f>'AUX Gasto Real'!I20</f>
        <v>3812288.4014334609</v>
      </c>
      <c r="J18" s="46">
        <f>'AUX Gasto Real'!J20</f>
        <v>4654343.7129243026</v>
      </c>
      <c r="K18" s="46">
        <f>'AUX Gasto Real'!K20</f>
        <v>5363799.0942391101</v>
      </c>
      <c r="L18" s="78">
        <f>'AUX Gasto Real'!L20</f>
        <v>1.6983492983589442E-2</v>
      </c>
      <c r="N18" s="377"/>
    </row>
    <row r="19" spans="2:14" x14ac:dyDescent="0.25">
      <c r="B19" s="30">
        <f>'AUX Gasto Real'!B21</f>
        <v>2023</v>
      </c>
      <c r="C19" s="28">
        <f>'AUX Gasto Real'!C21</f>
        <v>513896.7339849635</v>
      </c>
      <c r="D19" s="28">
        <f>'AUX Gasto Real'!D21</f>
        <v>217750.77640511256</v>
      </c>
      <c r="E19" s="46">
        <f>'AUX Gasto Real'!E21</f>
        <v>731647.51039007609</v>
      </c>
      <c r="F19" s="28">
        <f>'AUX Gasto Real'!F21</f>
        <v>0</v>
      </c>
      <c r="G19" s="28">
        <f>'AUX Gasto Real'!G21</f>
        <v>508824.20743910281</v>
      </c>
      <c r="H19" s="28">
        <f>'AUX Gasto Real'!H21</f>
        <v>0</v>
      </c>
      <c r="I19" s="28">
        <f>'AUX Gasto Real'!I21</f>
        <v>5086696.617885693</v>
      </c>
      <c r="J19" s="46">
        <f>'AUX Gasto Real'!J21</f>
        <v>5595520.8253247961</v>
      </c>
      <c r="K19" s="46">
        <f>'AUX Gasto Real'!K21</f>
        <v>6327168.335714872</v>
      </c>
      <c r="L19" s="78">
        <f>'AUX Gasto Real'!L21</f>
        <v>2.0354357365197768E-2</v>
      </c>
    </row>
    <row r="20" spans="2:14" x14ac:dyDescent="0.25">
      <c r="B20" s="30">
        <f>'AUX Gasto Real'!B22</f>
        <v>2024</v>
      </c>
      <c r="C20" s="28">
        <f>'AUX Gasto Real'!C22</f>
        <v>534358.49816395075</v>
      </c>
      <c r="D20" s="28">
        <f>'AUX Gasto Real'!D22</f>
        <v>222106.20406933266</v>
      </c>
      <c r="E20" s="46">
        <f>'AUX Gasto Real'!E22</f>
        <v>756464.70223328343</v>
      </c>
      <c r="F20" s="28">
        <f>'AUX Gasto Real'!F22</f>
        <v>0</v>
      </c>
      <c r="G20" s="28">
        <f>'AUX Gasto Real'!G22</f>
        <v>503850.60506652354</v>
      </c>
      <c r="H20" s="28">
        <f>'AUX Gasto Real'!H22</f>
        <v>0</v>
      </c>
      <c r="I20" s="28">
        <f>'AUX Gasto Real'!I22</f>
        <v>5484276.5687334286</v>
      </c>
      <c r="J20" s="46">
        <f>'AUX Gasto Real'!J22</f>
        <v>5988127.1737999525</v>
      </c>
      <c r="K20" s="46">
        <f>'AUX Gasto Real'!K22</f>
        <v>6744591.8760332363</v>
      </c>
      <c r="L20" s="78">
        <f>'AUX Gasto Real'!L22</f>
        <v>2.0460961625322637E-2</v>
      </c>
      <c r="N20" s="53"/>
    </row>
    <row r="21" spans="2:14" x14ac:dyDescent="0.25">
      <c r="B21" s="30">
        <v>2025</v>
      </c>
      <c r="C21" s="28">
        <f>'AUX Gasto Real'!C23</f>
        <v>571545.80920811626</v>
      </c>
      <c r="D21" s="28">
        <f>'AUX Gasto Real'!D23</f>
        <v>239432.54243027582</v>
      </c>
      <c r="E21" s="46">
        <f>'AUX Gasto Real'!E23</f>
        <v>810978.35163839208</v>
      </c>
      <c r="F21" s="28">
        <f>'AUX Gasto Real'!F23</f>
        <v>0</v>
      </c>
      <c r="G21" s="28">
        <f>'AUX Gasto Real'!G23</f>
        <v>487748.31390383339</v>
      </c>
      <c r="H21" s="28">
        <f>'AUX Gasto Real'!H23</f>
        <v>0</v>
      </c>
      <c r="I21" s="28">
        <f>'AUX Gasto Real'!I23</f>
        <v>5855795.9555907939</v>
      </c>
      <c r="J21" s="46">
        <f>'AUX Gasto Real'!J23</f>
        <v>6343544.2694946276</v>
      </c>
      <c r="K21" s="46">
        <f>'AUX Gasto Real'!K23</f>
        <v>7154522.6211330201</v>
      </c>
      <c r="L21" s="78">
        <f>'AUX Gasto Real'!L23</f>
        <v>2.1047775159991507E-2</v>
      </c>
      <c r="N21" s="53"/>
    </row>
    <row r="22" spans="2:14" ht="43.5" customHeight="1" x14ac:dyDescent="0.25">
      <c r="B22" s="533" t="s">
        <v>701</v>
      </c>
      <c r="C22" s="533"/>
      <c r="D22" s="533"/>
      <c r="E22" s="533"/>
      <c r="F22" s="533"/>
      <c r="G22" s="533"/>
      <c r="H22" s="533"/>
      <c r="I22" s="533"/>
      <c r="J22" s="533"/>
      <c r="K22" s="533"/>
      <c r="L22" s="533"/>
    </row>
  </sheetData>
  <mergeCells count="2">
    <mergeCell ref="B2:L2"/>
    <mergeCell ref="B22:L22"/>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B2259-C91B-453D-8030-CDF0E20C0ACF}">
  <sheetPr>
    <tabColor rgb="FF009999"/>
  </sheetPr>
  <dimension ref="B1:AH72"/>
  <sheetViews>
    <sheetView showGridLines="0" workbookViewId="0"/>
    <sheetView workbookViewId="1"/>
  </sheetViews>
  <sheetFormatPr baseColWidth="10" defaultRowHeight="15" x14ac:dyDescent="0.25"/>
  <cols>
    <col min="1" max="1" width="4.85546875" customWidth="1"/>
    <col min="2" max="2" width="6.85546875" customWidth="1"/>
    <col min="5" max="5" width="13.5703125" bestFit="1" customWidth="1"/>
    <col min="11" max="11" width="13.5703125" bestFit="1" customWidth="1"/>
    <col min="13" max="13" width="13.5703125" customWidth="1"/>
    <col min="17" max="17" width="13.7109375" bestFit="1" customWidth="1"/>
    <col min="22" max="22" width="13.7109375" bestFit="1" customWidth="1"/>
    <col min="28" max="28" width="11.85546875" customWidth="1"/>
  </cols>
  <sheetData>
    <row r="1" spans="2:13" ht="22.9" customHeight="1" x14ac:dyDescent="0.25"/>
    <row r="2" spans="2:13" ht="27" customHeight="1" x14ac:dyDescent="0.25">
      <c r="B2" s="534" t="s">
        <v>563</v>
      </c>
      <c r="C2" s="509"/>
      <c r="D2" s="509"/>
      <c r="E2" s="509"/>
      <c r="F2" s="535"/>
      <c r="G2" s="535"/>
      <c r="H2" s="535"/>
      <c r="I2" s="535"/>
      <c r="J2" s="536"/>
    </row>
    <row r="3" spans="2:13" x14ac:dyDescent="0.25">
      <c r="B3" s="498"/>
      <c r="C3" s="538" t="s">
        <v>149</v>
      </c>
      <c r="D3" s="539"/>
      <c r="E3" s="539"/>
      <c r="F3" s="539"/>
      <c r="G3" s="539"/>
      <c r="H3" s="537" t="s">
        <v>579</v>
      </c>
      <c r="I3" s="537"/>
      <c r="J3" s="498"/>
    </row>
    <row r="4" spans="2:13" x14ac:dyDescent="0.25">
      <c r="B4" s="499" t="s">
        <v>135</v>
      </c>
      <c r="C4" s="470" t="s">
        <v>13</v>
      </c>
      <c r="D4" s="470" t="s">
        <v>14</v>
      </c>
      <c r="E4" s="470" t="s">
        <v>11</v>
      </c>
      <c r="F4" s="470" t="s">
        <v>15</v>
      </c>
      <c r="G4" s="470" t="s">
        <v>44</v>
      </c>
      <c r="H4" s="470" t="s">
        <v>29</v>
      </c>
      <c r="I4" s="470" t="s">
        <v>30</v>
      </c>
      <c r="J4" s="500" t="s">
        <v>5</v>
      </c>
    </row>
    <row r="5" spans="2:13" x14ac:dyDescent="0.25">
      <c r="B5" s="72">
        <v>2008</v>
      </c>
      <c r="C5" s="32">
        <f>+AC29</f>
        <v>0.99095847288133587</v>
      </c>
      <c r="D5" s="32">
        <f t="shared" ref="D5:D20" si="0">+AD29</f>
        <v>0.57729071865155224</v>
      </c>
      <c r="E5" s="32">
        <f t="shared" ref="E5:E20" si="1">+AE29</f>
        <v>0.74497171590194844</v>
      </c>
      <c r="F5" s="32">
        <f t="shared" ref="F5:F20" si="2">+AF29</f>
        <v>0.25576763485477177</v>
      </c>
      <c r="G5" s="32">
        <f t="shared" ref="G5:G20" si="3">+AG29</f>
        <v>0</v>
      </c>
      <c r="H5" s="478">
        <f t="shared" ref="H5:H20" si="4">+AC53</f>
        <v>0.82525086696672323</v>
      </c>
      <c r="I5" s="478">
        <f t="shared" ref="I5:I20" si="5">+AD53</f>
        <v>0.83589326492945848</v>
      </c>
      <c r="J5" s="478">
        <f t="shared" ref="J5:J20" si="6">+AE53</f>
        <v>0.82767413865561179</v>
      </c>
    </row>
    <row r="6" spans="2:13" x14ac:dyDescent="0.25">
      <c r="B6" s="31">
        <v>2009</v>
      </c>
      <c r="C6" s="32">
        <f t="shared" ref="C6:C20" si="7">+AC30</f>
        <v>0.97894363581101618</v>
      </c>
      <c r="D6" s="32">
        <f t="shared" si="0"/>
        <v>0.60104549307714039</v>
      </c>
      <c r="E6" s="32">
        <f t="shared" si="1"/>
        <v>0.93014139529264095</v>
      </c>
      <c r="F6" s="32">
        <f t="shared" si="2"/>
        <v>0.84645061728395066</v>
      </c>
      <c r="G6" s="32">
        <f t="shared" si="3"/>
        <v>0</v>
      </c>
      <c r="H6" s="478">
        <f>+AC54</f>
        <v>0.88063690534336236</v>
      </c>
      <c r="I6" s="478">
        <f t="shared" si="5"/>
        <v>0.94994268761378198</v>
      </c>
      <c r="J6" s="478">
        <f t="shared" si="6"/>
        <v>0.90606454166512052</v>
      </c>
      <c r="L6" s="377"/>
    </row>
    <row r="7" spans="2:13" x14ac:dyDescent="0.25">
      <c r="B7" s="31">
        <v>2010</v>
      </c>
      <c r="C7" s="32">
        <f t="shared" si="7"/>
        <v>0.88934022648941413</v>
      </c>
      <c r="D7" s="32">
        <f t="shared" si="0"/>
        <v>0.53396492642612381</v>
      </c>
      <c r="E7" s="32">
        <f t="shared" si="1"/>
        <v>0.82438531572623308</v>
      </c>
      <c r="F7" s="32">
        <f t="shared" si="2"/>
        <v>0.84210973331068451</v>
      </c>
      <c r="G7" s="32">
        <f t="shared" si="3"/>
        <v>0</v>
      </c>
      <c r="H7" s="478">
        <f t="shared" si="4"/>
        <v>0.78714154169955275</v>
      </c>
      <c r="I7" s="478">
        <f t="shared" si="5"/>
        <v>0.83851146689744704</v>
      </c>
      <c r="J7" s="478">
        <f t="shared" si="6"/>
        <v>0.80656495418848173</v>
      </c>
    </row>
    <row r="8" spans="2:13" x14ac:dyDescent="0.25">
      <c r="B8" s="31">
        <v>2011</v>
      </c>
      <c r="C8" s="32">
        <f t="shared" si="7"/>
        <v>0.8045520425143593</v>
      </c>
      <c r="D8" s="32">
        <f t="shared" si="0"/>
        <v>0.49980709876543211</v>
      </c>
      <c r="E8" s="32">
        <f t="shared" si="1"/>
        <v>0.72099357054430735</v>
      </c>
      <c r="F8" s="32">
        <f t="shared" si="2"/>
        <v>0.84379547880081496</v>
      </c>
      <c r="G8" s="32">
        <f t="shared" si="3"/>
        <v>0</v>
      </c>
      <c r="H8" s="478">
        <f t="shared" si="4"/>
        <v>0.69234849597675818</v>
      </c>
      <c r="I8" s="478">
        <f t="shared" si="5"/>
        <v>0.76752902716717397</v>
      </c>
      <c r="J8" s="478">
        <f t="shared" si="6"/>
        <v>0.7199208293282896</v>
      </c>
    </row>
    <row r="9" spans="2:13" x14ac:dyDescent="0.25">
      <c r="B9" s="31">
        <v>2012</v>
      </c>
      <c r="C9" s="32">
        <f t="shared" si="7"/>
        <v>0.86588242231263635</v>
      </c>
      <c r="D9" s="32">
        <f t="shared" si="0"/>
        <v>0.5371558683502381</v>
      </c>
      <c r="E9" s="32">
        <f t="shared" si="1"/>
        <v>0.87314386937769561</v>
      </c>
      <c r="F9" s="32">
        <f t="shared" si="2"/>
        <v>0.86061349693251532</v>
      </c>
      <c r="G9" s="32">
        <f t="shared" si="3"/>
        <v>0</v>
      </c>
      <c r="H9" s="478">
        <f t="shared" si="4"/>
        <v>0.81118584910455604</v>
      </c>
      <c r="I9" s="478">
        <f t="shared" si="5"/>
        <v>0.87960103839322312</v>
      </c>
      <c r="J9" s="478">
        <f t="shared" si="6"/>
        <v>0.83737031459170008</v>
      </c>
    </row>
    <row r="10" spans="2:13" x14ac:dyDescent="0.25">
      <c r="B10" s="31">
        <v>2013</v>
      </c>
      <c r="C10" s="32">
        <f t="shared" si="7"/>
        <v>0.90454127032832154</v>
      </c>
      <c r="D10" s="32">
        <f t="shared" si="0"/>
        <v>0.54069941815128064</v>
      </c>
      <c r="E10" s="32">
        <f t="shared" si="1"/>
        <v>0.85391487809960409</v>
      </c>
      <c r="F10" s="32">
        <f t="shared" si="2"/>
        <v>0.8366302393138747</v>
      </c>
      <c r="G10" s="32">
        <f t="shared" si="3"/>
        <v>0</v>
      </c>
      <c r="H10" s="478">
        <f t="shared" si="4"/>
        <v>0.8063281824871229</v>
      </c>
      <c r="I10" s="478">
        <f t="shared" si="5"/>
        <v>0.85746317702091468</v>
      </c>
      <c r="J10" s="478">
        <f t="shared" si="6"/>
        <v>0.82617764905382896</v>
      </c>
    </row>
    <row r="11" spans="2:13" x14ac:dyDescent="0.25">
      <c r="B11" s="31">
        <v>2014</v>
      </c>
      <c r="C11" s="32">
        <f t="shared" si="7"/>
        <v>0.82781322284639436</v>
      </c>
      <c r="D11" s="32">
        <f t="shared" si="0"/>
        <v>0.5702866278405847</v>
      </c>
      <c r="E11" s="32">
        <f t="shared" si="1"/>
        <v>0.79233674877292981</v>
      </c>
      <c r="F11" s="32">
        <f t="shared" si="2"/>
        <v>0.8759973404255319</v>
      </c>
      <c r="G11" s="32">
        <f t="shared" si="3"/>
        <v>0</v>
      </c>
      <c r="H11" s="478">
        <f t="shared" si="4"/>
        <v>0.75515091368039522</v>
      </c>
      <c r="I11" s="478">
        <f t="shared" si="5"/>
        <v>0.81720742093495591</v>
      </c>
      <c r="J11" s="478">
        <f t="shared" si="6"/>
        <v>0.77918343875790685</v>
      </c>
    </row>
    <row r="12" spans="2:13" x14ac:dyDescent="0.25">
      <c r="B12" s="31">
        <v>2015</v>
      </c>
      <c r="C12" s="32">
        <f t="shared" si="7"/>
        <v>0.85088596972533326</v>
      </c>
      <c r="D12" s="32">
        <f t="shared" si="0"/>
        <v>0.63285598486895434</v>
      </c>
      <c r="E12" s="32">
        <f t="shared" si="1"/>
        <v>0.80191495353421571</v>
      </c>
      <c r="F12" s="32">
        <f t="shared" si="2"/>
        <v>0.83540746688077072</v>
      </c>
      <c r="G12" s="32">
        <f t="shared" si="3"/>
        <v>0</v>
      </c>
      <c r="H12" s="478">
        <f t="shared" si="4"/>
        <v>0.7665055986618966</v>
      </c>
      <c r="I12" s="478">
        <f t="shared" si="5"/>
        <v>0.82973546522264097</v>
      </c>
      <c r="J12" s="478">
        <f t="shared" si="6"/>
        <v>0.79106100004262758</v>
      </c>
    </row>
    <row r="13" spans="2:13" x14ac:dyDescent="0.25">
      <c r="B13" s="31">
        <v>2016</v>
      </c>
      <c r="C13" s="32">
        <f t="shared" si="7"/>
        <v>0.81556760996013333</v>
      </c>
      <c r="D13" s="32">
        <f t="shared" si="0"/>
        <v>0.65432987977173251</v>
      </c>
      <c r="E13" s="32">
        <f t="shared" si="1"/>
        <v>0.77574904760270447</v>
      </c>
      <c r="F13" s="32">
        <f t="shared" si="2"/>
        <v>0.86303501945525296</v>
      </c>
      <c r="G13" s="32">
        <f t="shared" si="3"/>
        <v>0</v>
      </c>
      <c r="H13" s="478">
        <f t="shared" si="4"/>
        <v>0.74833723436305066</v>
      </c>
      <c r="I13" s="478">
        <f t="shared" si="5"/>
        <v>0.80665010510223578</v>
      </c>
      <c r="J13" s="478">
        <f t="shared" si="6"/>
        <v>0.77034883720930236</v>
      </c>
    </row>
    <row r="14" spans="2:13" x14ac:dyDescent="0.25">
      <c r="B14" s="31">
        <v>2017</v>
      </c>
      <c r="C14" s="32">
        <f t="shared" si="7"/>
        <v>0.81976269696779458</v>
      </c>
      <c r="D14" s="32">
        <f t="shared" si="0"/>
        <v>0.65128233171105154</v>
      </c>
      <c r="E14" s="32">
        <f t="shared" si="1"/>
        <v>0.7951047259710734</v>
      </c>
      <c r="F14" s="32">
        <f t="shared" si="2"/>
        <v>0.88586784698071452</v>
      </c>
      <c r="G14" s="32">
        <f t="shared" si="3"/>
        <v>0</v>
      </c>
      <c r="H14" s="478">
        <f t="shared" si="4"/>
        <v>0.76021282636355036</v>
      </c>
      <c r="I14" s="478">
        <f t="shared" si="5"/>
        <v>0.82370233222893519</v>
      </c>
      <c r="J14" s="478">
        <f t="shared" si="6"/>
        <v>0.78516400400834863</v>
      </c>
    </row>
    <row r="15" spans="2:13" x14ac:dyDescent="0.25">
      <c r="B15" s="31">
        <v>2018</v>
      </c>
      <c r="C15" s="32">
        <f t="shared" si="7"/>
        <v>0.90143397666210934</v>
      </c>
      <c r="D15" s="32">
        <f t="shared" si="0"/>
        <v>0.64929693961952029</v>
      </c>
      <c r="E15" s="32">
        <f t="shared" si="1"/>
        <v>0.90695790258288234</v>
      </c>
      <c r="F15" s="32">
        <f t="shared" si="2"/>
        <v>0.93584423874880307</v>
      </c>
      <c r="G15" s="32">
        <f t="shared" si="3"/>
        <v>0</v>
      </c>
      <c r="H15" s="478">
        <f t="shared" si="4"/>
        <v>0.85644691652978944</v>
      </c>
      <c r="I15" s="478">
        <f t="shared" si="5"/>
        <v>0.92188271126214416</v>
      </c>
      <c r="J15" s="478">
        <f t="shared" si="6"/>
        <v>0.88250753912765134</v>
      </c>
      <c r="L15" s="377"/>
    </row>
    <row r="16" spans="2:13" s="29" customFormat="1" x14ac:dyDescent="0.25">
      <c r="B16" s="31">
        <v>2019</v>
      </c>
      <c r="C16" s="32">
        <f t="shared" si="7"/>
        <v>0.90407163372191246</v>
      </c>
      <c r="D16" s="32">
        <f t="shared" si="0"/>
        <v>0.65304395139350702</v>
      </c>
      <c r="E16" s="32">
        <f t="shared" si="1"/>
        <v>0.90502803207721239</v>
      </c>
      <c r="F16" s="32">
        <f t="shared" si="2"/>
        <v>0.92734761120263587</v>
      </c>
      <c r="G16" s="32">
        <f t="shared" si="3"/>
        <v>0</v>
      </c>
      <c r="H16" s="478">
        <f t="shared" si="4"/>
        <v>0.85020008531556601</v>
      </c>
      <c r="I16" s="478">
        <f t="shared" si="5"/>
        <v>0.92514591732354534</v>
      </c>
      <c r="J16" s="478">
        <f t="shared" si="6"/>
        <v>0.88040670813780053</v>
      </c>
      <c r="L16" s="377"/>
      <c r="M16"/>
    </row>
    <row r="17" spans="2:34" x14ac:dyDescent="0.25">
      <c r="B17" s="31">
        <v>2020</v>
      </c>
      <c r="C17" s="32">
        <f t="shared" si="7"/>
        <v>0.89614164904862581</v>
      </c>
      <c r="D17" s="32">
        <f t="shared" si="0"/>
        <v>0.65592766242464839</v>
      </c>
      <c r="E17" s="32">
        <f t="shared" si="1"/>
        <v>0.89931897551798134</v>
      </c>
      <c r="F17" s="32">
        <f t="shared" si="2"/>
        <v>0.92549476135040742</v>
      </c>
      <c r="G17" s="32">
        <f t="shared" si="3"/>
        <v>0</v>
      </c>
      <c r="H17" s="478">
        <f t="shared" si="4"/>
        <v>0.85546689088428463</v>
      </c>
      <c r="I17" s="478">
        <f t="shared" si="5"/>
        <v>0.92077827355414454</v>
      </c>
      <c r="J17" s="478">
        <f t="shared" si="6"/>
        <v>0.88323301413588695</v>
      </c>
    </row>
    <row r="18" spans="2:34" x14ac:dyDescent="0.25">
      <c r="B18" s="31">
        <v>2021</v>
      </c>
      <c r="C18" s="32">
        <f t="shared" si="7"/>
        <v>0.85688086677445041</v>
      </c>
      <c r="D18" s="32">
        <f t="shared" si="0"/>
        <v>0.60132989652209645</v>
      </c>
      <c r="E18" s="32">
        <f t="shared" si="1"/>
        <v>0.87195147502514248</v>
      </c>
      <c r="F18" s="32">
        <f t="shared" si="2"/>
        <v>0.93065248157727787</v>
      </c>
      <c r="G18" s="32">
        <f t="shared" si="3"/>
        <v>0</v>
      </c>
      <c r="H18" s="478">
        <f t="shared" si="4"/>
        <v>0.8121639071944321</v>
      </c>
      <c r="I18" s="478">
        <f t="shared" si="5"/>
        <v>0.89982209198890695</v>
      </c>
      <c r="J18" s="478">
        <f t="shared" si="6"/>
        <v>0.84811149696187227</v>
      </c>
    </row>
    <row r="19" spans="2:34" x14ac:dyDescent="0.25">
      <c r="B19" s="31">
        <v>2022</v>
      </c>
      <c r="C19" s="32">
        <f t="shared" si="7"/>
        <v>0.92971311475409835</v>
      </c>
      <c r="D19" s="32">
        <f t="shared" si="0"/>
        <v>0.54641049305031186</v>
      </c>
      <c r="E19" s="32">
        <f t="shared" si="1"/>
        <v>0.94345306010679564</v>
      </c>
      <c r="F19" s="32">
        <f t="shared" si="2"/>
        <v>0.83953192571864665</v>
      </c>
      <c r="G19" s="32">
        <f t="shared" si="3"/>
        <v>0.8662793349401986</v>
      </c>
      <c r="H19" s="478">
        <f t="shared" si="4"/>
        <v>0.84730952618514188</v>
      </c>
      <c r="I19" s="478">
        <f t="shared" si="5"/>
        <v>0.85480660371490069</v>
      </c>
      <c r="J19" s="478">
        <f t="shared" si="6"/>
        <v>0.85100504862347204</v>
      </c>
    </row>
    <row r="20" spans="2:34" ht="14.45" customHeight="1" x14ac:dyDescent="0.25">
      <c r="B20" s="31">
        <v>2023</v>
      </c>
      <c r="C20" s="32">
        <f t="shared" si="7"/>
        <v>0</v>
      </c>
      <c r="D20" s="32">
        <f t="shared" si="0"/>
        <v>0.57207023274806046</v>
      </c>
      <c r="E20" s="32">
        <f t="shared" si="1"/>
        <v>0</v>
      </c>
      <c r="F20" s="32">
        <f t="shared" si="2"/>
        <v>0.86064789502460359</v>
      </c>
      <c r="G20" s="32">
        <f t="shared" si="3"/>
        <v>0.88435906759975957</v>
      </c>
      <c r="H20" s="478">
        <f t="shared" si="4"/>
        <v>0.84583176514866387</v>
      </c>
      <c r="I20" s="478">
        <f t="shared" si="5"/>
        <v>0.85874354950349163</v>
      </c>
      <c r="J20" s="478">
        <f t="shared" si="6"/>
        <v>0.85179464944123917</v>
      </c>
    </row>
    <row r="21" spans="2:34" ht="14.45" customHeight="1" x14ac:dyDescent="0.25">
      <c r="B21" s="31">
        <v>2024</v>
      </c>
      <c r="C21" s="32">
        <f t="shared" ref="C21" si="8">+AC45</f>
        <v>0</v>
      </c>
      <c r="D21" s="32">
        <f t="shared" ref="D21" si="9">+AD45</f>
        <v>0.51832562802874171</v>
      </c>
      <c r="E21" s="32">
        <f t="shared" ref="E21" si="10">+AE45</f>
        <v>0</v>
      </c>
      <c r="F21" s="32">
        <f t="shared" ref="F21" si="11">+AF45</f>
        <v>0.79147710912755542</v>
      </c>
      <c r="G21" s="32">
        <f t="shared" ref="G21" si="12">+AG45</f>
        <v>0.83209749563470237</v>
      </c>
      <c r="H21" s="478">
        <f t="shared" ref="H21" si="13">+AC69</f>
        <v>0.78322785762887404</v>
      </c>
      <c r="I21" s="478">
        <f t="shared" ref="I21" si="14">+AD69</f>
        <v>0.8041654592871631</v>
      </c>
      <c r="J21" s="478">
        <f t="shared" ref="J21" si="15">+AE69</f>
        <v>0.79273164909096294</v>
      </c>
    </row>
    <row r="22" spans="2:34" ht="14.45" customHeight="1" x14ac:dyDescent="0.25">
      <c r="B22" s="31">
        <v>2025</v>
      </c>
      <c r="C22" s="32">
        <f t="shared" ref="C22" si="16">+AC46</f>
        <v>0</v>
      </c>
      <c r="D22" s="32">
        <f t="shared" ref="D22" si="17">+AD46</f>
        <v>0.5131520285332144</v>
      </c>
      <c r="E22" s="32">
        <f t="shared" ref="E22" si="18">+AE46</f>
        <v>0</v>
      </c>
      <c r="F22" s="32">
        <f t="shared" ref="F22" si="19">+AF46</f>
        <v>0.84149795447393261</v>
      </c>
      <c r="G22" s="32">
        <f t="shared" ref="G22" si="20">+AG46</f>
        <v>0.85075486143010259</v>
      </c>
      <c r="H22" s="478">
        <f t="shared" ref="H22" si="21">+AC70</f>
        <v>0.83606962612009472</v>
      </c>
      <c r="I22" s="478">
        <f t="shared" ref="I22" si="22">+AD70</f>
        <v>0.83078285511866812</v>
      </c>
      <c r="J22" s="478">
        <f t="shared" ref="J22" si="23">+AE70</f>
        <v>0.83360655737704914</v>
      </c>
      <c r="K22" s="68"/>
    </row>
    <row r="23" spans="2:34" ht="36.75" customHeight="1" x14ac:dyDescent="0.25">
      <c r="B23" s="522" t="s">
        <v>659</v>
      </c>
      <c r="C23" s="522"/>
      <c r="D23" s="522"/>
      <c r="E23" s="522"/>
      <c r="F23" s="522"/>
      <c r="G23" s="522"/>
      <c r="H23" s="522"/>
      <c r="I23" s="522"/>
      <c r="J23" s="522"/>
    </row>
    <row r="24" spans="2:34" x14ac:dyDescent="0.25">
      <c r="C24" s="68"/>
      <c r="D24" s="68"/>
      <c r="E24" s="68"/>
      <c r="F24" s="68"/>
      <c r="G24" s="68"/>
      <c r="H24" s="68"/>
      <c r="I24" s="68"/>
      <c r="J24" s="68"/>
    </row>
    <row r="27" spans="2:34" s="316" customFormat="1" ht="22.5" customHeight="1" x14ac:dyDescent="0.2">
      <c r="B27" s="540" t="s">
        <v>661</v>
      </c>
      <c r="C27" s="540"/>
      <c r="D27" s="540"/>
      <c r="E27" s="540"/>
      <c r="F27" s="540"/>
      <c r="G27" s="540"/>
      <c r="H27" s="540"/>
      <c r="J27" s="540" t="s">
        <v>669</v>
      </c>
      <c r="K27" s="540"/>
      <c r="L27" s="540"/>
      <c r="M27" s="540"/>
      <c r="N27" s="540"/>
      <c r="O27" s="540"/>
      <c r="P27" s="540"/>
      <c r="S27" s="540" t="s">
        <v>158</v>
      </c>
      <c r="T27" s="540"/>
      <c r="U27" s="540"/>
      <c r="V27" s="540"/>
      <c r="W27" s="540"/>
      <c r="X27" s="540"/>
      <c r="Y27" s="540"/>
      <c r="AB27" s="540" t="s">
        <v>662</v>
      </c>
      <c r="AC27" s="540"/>
      <c r="AD27" s="540"/>
      <c r="AE27" s="540"/>
      <c r="AF27" s="540"/>
      <c r="AG27" s="540"/>
      <c r="AH27" s="540"/>
    </row>
    <row r="28" spans="2:34" s="316" customFormat="1" ht="12.75" x14ac:dyDescent="0.2">
      <c r="B28" s="483" t="s">
        <v>6</v>
      </c>
      <c r="C28" s="484" t="s">
        <v>13</v>
      </c>
      <c r="D28" s="484" t="s">
        <v>14</v>
      </c>
      <c r="E28" s="485" t="s">
        <v>11</v>
      </c>
      <c r="F28" s="484" t="s">
        <v>15</v>
      </c>
      <c r="G28" s="484" t="s">
        <v>44</v>
      </c>
      <c r="H28" s="486" t="s">
        <v>5</v>
      </c>
      <c r="J28" s="483" t="s">
        <v>6</v>
      </c>
      <c r="K28" s="484" t="s">
        <v>13</v>
      </c>
      <c r="L28" s="484" t="s">
        <v>14</v>
      </c>
      <c r="M28" s="485" t="s">
        <v>157</v>
      </c>
      <c r="N28" s="484" t="s">
        <v>15</v>
      </c>
      <c r="O28" s="484" t="s">
        <v>44</v>
      </c>
      <c r="P28" s="486" t="s">
        <v>5</v>
      </c>
      <c r="S28" s="484" t="s">
        <v>6</v>
      </c>
      <c r="T28" s="484" t="s">
        <v>13</v>
      </c>
      <c r="U28" s="484" t="s">
        <v>14</v>
      </c>
      <c r="V28" s="485" t="s">
        <v>157</v>
      </c>
      <c r="W28" s="484" t="s">
        <v>15</v>
      </c>
      <c r="X28" s="484" t="s">
        <v>44</v>
      </c>
      <c r="Y28" s="486" t="s">
        <v>5</v>
      </c>
      <c r="AB28" s="484" t="s">
        <v>6</v>
      </c>
      <c r="AC28" s="484" t="s">
        <v>13</v>
      </c>
      <c r="AD28" s="484" t="s">
        <v>14</v>
      </c>
      <c r="AE28" s="485" t="s">
        <v>157</v>
      </c>
      <c r="AF28" s="484" t="s">
        <v>15</v>
      </c>
      <c r="AG28" s="484" t="s">
        <v>44</v>
      </c>
      <c r="AH28" s="486" t="s">
        <v>5</v>
      </c>
    </row>
    <row r="29" spans="2:34" s="316" customFormat="1" ht="12.75" x14ac:dyDescent="0.2">
      <c r="B29" s="487">
        <v>2008</v>
      </c>
      <c r="C29" s="488">
        <v>83735</v>
      </c>
      <c r="D29" s="488">
        <v>21440</v>
      </c>
      <c r="E29" s="488">
        <v>9482</v>
      </c>
      <c r="F29" s="488">
        <v>1541</v>
      </c>
      <c r="G29" s="488">
        <v>0</v>
      </c>
      <c r="H29" s="493">
        <v>116198</v>
      </c>
      <c r="J29" s="487">
        <v>2008</v>
      </c>
      <c r="K29" s="488">
        <v>764</v>
      </c>
      <c r="L29" s="488">
        <v>15699</v>
      </c>
      <c r="M29" s="488">
        <v>3246</v>
      </c>
      <c r="N29" s="488">
        <v>4484</v>
      </c>
      <c r="O29" s="488">
        <v>0</v>
      </c>
      <c r="P29" s="493">
        <v>24193</v>
      </c>
      <c r="S29" s="466">
        <v>2008</v>
      </c>
      <c r="T29" s="488">
        <v>84499</v>
      </c>
      <c r="U29" s="488">
        <v>37139</v>
      </c>
      <c r="V29" s="488">
        <v>12728</v>
      </c>
      <c r="W29" s="488">
        <v>6025</v>
      </c>
      <c r="X29" s="488">
        <v>0</v>
      </c>
      <c r="Y29" s="493">
        <v>140391</v>
      </c>
      <c r="AB29" s="466">
        <v>2008</v>
      </c>
      <c r="AC29" s="490">
        <v>0.99095847288133587</v>
      </c>
      <c r="AD29" s="490">
        <v>0.57729071865155224</v>
      </c>
      <c r="AE29" s="490">
        <v>0.74497171590194844</v>
      </c>
      <c r="AF29" s="490">
        <v>0.25576763485477177</v>
      </c>
      <c r="AG29" s="490"/>
      <c r="AH29" s="494">
        <v>0.82767413865561179</v>
      </c>
    </row>
    <row r="30" spans="2:34" s="316" customFormat="1" ht="12.75" x14ac:dyDescent="0.2">
      <c r="B30" s="487">
        <v>2009</v>
      </c>
      <c r="C30" s="488">
        <v>57975</v>
      </c>
      <c r="D30" s="488">
        <v>21271</v>
      </c>
      <c r="E30" s="488">
        <v>277144</v>
      </c>
      <c r="F30" s="488">
        <v>9873</v>
      </c>
      <c r="G30" s="488">
        <v>0</v>
      </c>
      <c r="H30" s="493">
        <v>366263</v>
      </c>
      <c r="J30" s="487">
        <v>2009</v>
      </c>
      <c r="K30" s="488">
        <v>1247</v>
      </c>
      <c r="L30" s="488">
        <v>14119</v>
      </c>
      <c r="M30" s="488">
        <v>20815</v>
      </c>
      <c r="N30" s="488">
        <v>1791</v>
      </c>
      <c r="O30" s="488">
        <v>0</v>
      </c>
      <c r="P30" s="493">
        <v>37972</v>
      </c>
      <c r="S30" s="466">
        <v>2009</v>
      </c>
      <c r="T30" s="488">
        <v>59222</v>
      </c>
      <c r="U30" s="488">
        <v>35390</v>
      </c>
      <c r="V30" s="488">
        <v>297959</v>
      </c>
      <c r="W30" s="488">
        <v>11664</v>
      </c>
      <c r="X30" s="488">
        <v>0</v>
      </c>
      <c r="Y30" s="493">
        <v>404235</v>
      </c>
      <c r="AB30" s="466">
        <v>2009</v>
      </c>
      <c r="AC30" s="490">
        <v>0.97894363581101618</v>
      </c>
      <c r="AD30" s="490">
        <v>0.60104549307714039</v>
      </c>
      <c r="AE30" s="490">
        <v>0.93014139529264095</v>
      </c>
      <c r="AF30" s="490">
        <v>0.84645061728395066</v>
      </c>
      <c r="AG30" s="490"/>
      <c r="AH30" s="494">
        <v>0.90606454166512052</v>
      </c>
    </row>
    <row r="31" spans="2:34" s="316" customFormat="1" ht="12.75" x14ac:dyDescent="0.2">
      <c r="B31" s="487">
        <v>2010</v>
      </c>
      <c r="C31" s="488">
        <v>36125</v>
      </c>
      <c r="D31" s="488">
        <v>13245</v>
      </c>
      <c r="E31" s="488">
        <v>137904</v>
      </c>
      <c r="F31" s="488">
        <v>9915</v>
      </c>
      <c r="G31" s="488">
        <v>0</v>
      </c>
      <c r="H31" s="493">
        <v>197189</v>
      </c>
      <c r="J31" s="487">
        <v>2010</v>
      </c>
      <c r="K31" s="488">
        <v>4495</v>
      </c>
      <c r="L31" s="488">
        <v>11560</v>
      </c>
      <c r="M31" s="488">
        <v>29377</v>
      </c>
      <c r="N31" s="488">
        <v>1859</v>
      </c>
      <c r="O31" s="488">
        <v>0</v>
      </c>
      <c r="P31" s="493">
        <v>47291</v>
      </c>
      <c r="S31" s="466">
        <v>2010</v>
      </c>
      <c r="T31" s="488">
        <v>40620</v>
      </c>
      <c r="U31" s="488">
        <v>24805</v>
      </c>
      <c r="V31" s="488">
        <v>167281</v>
      </c>
      <c r="W31" s="488">
        <v>11774</v>
      </c>
      <c r="X31" s="488">
        <v>0</v>
      </c>
      <c r="Y31" s="493">
        <v>244480</v>
      </c>
      <c r="AB31" s="466">
        <v>2010</v>
      </c>
      <c r="AC31" s="490">
        <v>0.88934022648941413</v>
      </c>
      <c r="AD31" s="490">
        <v>0.53396492642612381</v>
      </c>
      <c r="AE31" s="490">
        <v>0.82438531572623308</v>
      </c>
      <c r="AF31" s="490">
        <v>0.84210973331068451</v>
      </c>
      <c r="AG31" s="490"/>
      <c r="AH31" s="494">
        <v>0.80656495418848173</v>
      </c>
    </row>
    <row r="32" spans="2:34" s="316" customFormat="1" ht="12.75" x14ac:dyDescent="0.2">
      <c r="B32" s="487">
        <v>2011</v>
      </c>
      <c r="C32" s="488">
        <v>29976</v>
      </c>
      <c r="D32" s="488">
        <v>10364</v>
      </c>
      <c r="E32" s="488">
        <v>90272</v>
      </c>
      <c r="F32" s="488">
        <v>8697</v>
      </c>
      <c r="G32" s="488">
        <v>0</v>
      </c>
      <c r="H32" s="493">
        <v>139309</v>
      </c>
      <c r="J32" s="487">
        <v>2011</v>
      </c>
      <c r="K32" s="488">
        <v>7282</v>
      </c>
      <c r="L32" s="488">
        <v>10372</v>
      </c>
      <c r="M32" s="488">
        <v>34933</v>
      </c>
      <c r="N32" s="488">
        <v>1610</v>
      </c>
      <c r="O32" s="488">
        <v>0</v>
      </c>
      <c r="P32" s="493">
        <v>54197</v>
      </c>
      <c r="S32" s="466">
        <v>2011</v>
      </c>
      <c r="T32" s="488">
        <v>37258</v>
      </c>
      <c r="U32" s="488">
        <v>20736</v>
      </c>
      <c r="V32" s="488">
        <v>125205</v>
      </c>
      <c r="W32" s="488">
        <v>10307</v>
      </c>
      <c r="X32" s="488">
        <v>0</v>
      </c>
      <c r="Y32" s="493">
        <v>193506</v>
      </c>
      <c r="AB32" s="466">
        <v>2011</v>
      </c>
      <c r="AC32" s="490">
        <v>0.8045520425143593</v>
      </c>
      <c r="AD32" s="490">
        <v>0.49980709876543211</v>
      </c>
      <c r="AE32" s="490">
        <v>0.72099357054430735</v>
      </c>
      <c r="AF32" s="490">
        <v>0.84379547880081496</v>
      </c>
      <c r="AG32" s="490"/>
      <c r="AH32" s="494">
        <v>0.7199208293282896</v>
      </c>
    </row>
    <row r="33" spans="2:34" s="316" customFormat="1" ht="12.75" x14ac:dyDescent="0.2">
      <c r="B33" s="487">
        <v>2012</v>
      </c>
      <c r="C33" s="488">
        <v>29369</v>
      </c>
      <c r="D33" s="488">
        <v>10380</v>
      </c>
      <c r="E33" s="488">
        <v>113369</v>
      </c>
      <c r="F33" s="488">
        <v>7014</v>
      </c>
      <c r="G33" s="488">
        <v>0</v>
      </c>
      <c r="H33" s="493">
        <v>160132</v>
      </c>
      <c r="J33" s="487">
        <v>2012</v>
      </c>
      <c r="K33" s="488">
        <v>4549</v>
      </c>
      <c r="L33" s="488">
        <v>8944</v>
      </c>
      <c r="M33" s="488">
        <v>16471</v>
      </c>
      <c r="N33" s="488">
        <v>1136</v>
      </c>
      <c r="O33" s="488">
        <v>0</v>
      </c>
      <c r="P33" s="493">
        <v>31100</v>
      </c>
      <c r="S33" s="466">
        <v>2012</v>
      </c>
      <c r="T33" s="488">
        <v>33918</v>
      </c>
      <c r="U33" s="488">
        <v>19324</v>
      </c>
      <c r="V33" s="488">
        <v>129840</v>
      </c>
      <c r="W33" s="488">
        <v>8150</v>
      </c>
      <c r="X33" s="488">
        <v>0</v>
      </c>
      <c r="Y33" s="493">
        <v>191232</v>
      </c>
      <c r="AB33" s="466">
        <v>2012</v>
      </c>
      <c r="AC33" s="490">
        <v>0.86588242231263635</v>
      </c>
      <c r="AD33" s="490">
        <v>0.5371558683502381</v>
      </c>
      <c r="AE33" s="490">
        <v>0.87314386937769561</v>
      </c>
      <c r="AF33" s="490">
        <v>0.86061349693251532</v>
      </c>
      <c r="AG33" s="490"/>
      <c r="AH33" s="494">
        <v>0.83737031459170008</v>
      </c>
    </row>
    <row r="34" spans="2:34" s="316" customFormat="1" ht="12.75" x14ac:dyDescent="0.2">
      <c r="B34" s="487">
        <v>2013</v>
      </c>
      <c r="C34" s="488">
        <v>29479</v>
      </c>
      <c r="D34" s="488">
        <v>9014</v>
      </c>
      <c r="E34" s="488">
        <v>65567</v>
      </c>
      <c r="F34" s="488">
        <v>6048</v>
      </c>
      <c r="G34" s="488">
        <v>0</v>
      </c>
      <c r="H34" s="493">
        <v>110108</v>
      </c>
      <c r="J34" s="487">
        <v>2013</v>
      </c>
      <c r="K34" s="488">
        <v>3111</v>
      </c>
      <c r="L34" s="488">
        <v>7657</v>
      </c>
      <c r="M34" s="488">
        <v>11217</v>
      </c>
      <c r="N34" s="488">
        <v>1181</v>
      </c>
      <c r="O34" s="488">
        <v>0</v>
      </c>
      <c r="P34" s="493">
        <v>23166</v>
      </c>
      <c r="S34" s="466">
        <v>2013</v>
      </c>
      <c r="T34" s="488">
        <v>32590</v>
      </c>
      <c r="U34" s="488">
        <v>16671</v>
      </c>
      <c r="V34" s="488">
        <v>76784</v>
      </c>
      <c r="W34" s="488">
        <v>7229</v>
      </c>
      <c r="X34" s="488">
        <v>0</v>
      </c>
      <c r="Y34" s="493">
        <v>133274</v>
      </c>
      <c r="AB34" s="466">
        <v>2013</v>
      </c>
      <c r="AC34" s="490">
        <v>0.90454127032832154</v>
      </c>
      <c r="AD34" s="490">
        <v>0.54069941815128064</v>
      </c>
      <c r="AE34" s="490">
        <v>0.85391487809960409</v>
      </c>
      <c r="AF34" s="490">
        <v>0.8366302393138747</v>
      </c>
      <c r="AG34" s="490"/>
      <c r="AH34" s="494">
        <v>0.82617764905382896</v>
      </c>
    </row>
    <row r="35" spans="2:34" s="316" customFormat="1" ht="12.75" x14ac:dyDescent="0.2">
      <c r="B35" s="487">
        <v>2014</v>
      </c>
      <c r="C35" s="488">
        <v>32567</v>
      </c>
      <c r="D35" s="488">
        <v>9988</v>
      </c>
      <c r="E35" s="488">
        <v>70060</v>
      </c>
      <c r="F35" s="488">
        <v>5270</v>
      </c>
      <c r="G35" s="488">
        <v>0</v>
      </c>
      <c r="H35" s="493">
        <v>117885</v>
      </c>
      <c r="J35" s="487">
        <v>2014</v>
      </c>
      <c r="K35" s="488">
        <v>6774</v>
      </c>
      <c r="L35" s="488">
        <v>7526</v>
      </c>
      <c r="M35" s="488">
        <v>18362</v>
      </c>
      <c r="N35" s="488">
        <v>746</v>
      </c>
      <c r="O35" s="488">
        <v>0</v>
      </c>
      <c r="P35" s="493">
        <v>33408</v>
      </c>
      <c r="S35" s="466">
        <v>2014</v>
      </c>
      <c r="T35" s="488">
        <v>39341</v>
      </c>
      <c r="U35" s="488">
        <v>17514</v>
      </c>
      <c r="V35" s="488">
        <v>88422</v>
      </c>
      <c r="W35" s="488">
        <v>6016</v>
      </c>
      <c r="X35" s="488">
        <v>0</v>
      </c>
      <c r="Y35" s="493">
        <v>151293</v>
      </c>
      <c r="AB35" s="466">
        <v>2014</v>
      </c>
      <c r="AC35" s="490">
        <v>0.82781322284639436</v>
      </c>
      <c r="AD35" s="490">
        <v>0.5702866278405847</v>
      </c>
      <c r="AE35" s="490">
        <v>0.79233674877292981</v>
      </c>
      <c r="AF35" s="490">
        <v>0.8759973404255319</v>
      </c>
      <c r="AG35" s="490"/>
      <c r="AH35" s="494">
        <v>0.77918343875790685</v>
      </c>
    </row>
    <row r="36" spans="2:34" s="316" customFormat="1" ht="12.75" x14ac:dyDescent="0.2">
      <c r="B36" s="487">
        <v>2015</v>
      </c>
      <c r="C36" s="488">
        <v>26363</v>
      </c>
      <c r="D36" s="488">
        <v>11711</v>
      </c>
      <c r="E36" s="488">
        <v>71190</v>
      </c>
      <c r="F36" s="488">
        <v>2081</v>
      </c>
      <c r="G36" s="488">
        <v>0</v>
      </c>
      <c r="H36" s="493">
        <v>111345</v>
      </c>
      <c r="J36" s="487">
        <v>2015</v>
      </c>
      <c r="K36" s="488">
        <v>4620</v>
      </c>
      <c r="L36" s="488">
        <v>6794</v>
      </c>
      <c r="M36" s="488">
        <v>17585</v>
      </c>
      <c r="N36" s="488">
        <v>410</v>
      </c>
      <c r="O36" s="488">
        <v>0</v>
      </c>
      <c r="P36" s="493">
        <v>29409</v>
      </c>
      <c r="S36" s="466">
        <v>2015</v>
      </c>
      <c r="T36" s="488">
        <v>30983</v>
      </c>
      <c r="U36" s="488">
        <v>18505</v>
      </c>
      <c r="V36" s="488">
        <v>88775</v>
      </c>
      <c r="W36" s="488">
        <v>2491</v>
      </c>
      <c r="X36" s="488">
        <v>0</v>
      </c>
      <c r="Y36" s="493">
        <v>140754</v>
      </c>
      <c r="AB36" s="466">
        <v>2015</v>
      </c>
      <c r="AC36" s="490">
        <v>0.85088596972533326</v>
      </c>
      <c r="AD36" s="490">
        <v>0.63285598486895434</v>
      </c>
      <c r="AE36" s="490">
        <v>0.80191495353421571</v>
      </c>
      <c r="AF36" s="490">
        <v>0.83540746688077072</v>
      </c>
      <c r="AG36" s="490"/>
      <c r="AH36" s="494">
        <v>0.79106100004262758</v>
      </c>
    </row>
    <row r="37" spans="2:34" s="316" customFormat="1" ht="12.75" x14ac:dyDescent="0.2">
      <c r="B37" s="487">
        <v>2016</v>
      </c>
      <c r="C37" s="488">
        <v>24958</v>
      </c>
      <c r="D37" s="488">
        <v>11810</v>
      </c>
      <c r="E37" s="488">
        <v>67809</v>
      </c>
      <c r="F37" s="488">
        <v>2218</v>
      </c>
      <c r="G37" s="488">
        <v>0</v>
      </c>
      <c r="H37" s="493">
        <v>106795</v>
      </c>
      <c r="J37" s="487">
        <v>2016</v>
      </c>
      <c r="K37" s="488">
        <v>5644</v>
      </c>
      <c r="L37" s="488">
        <v>6239</v>
      </c>
      <c r="M37" s="488">
        <v>19602</v>
      </c>
      <c r="N37" s="488">
        <v>352</v>
      </c>
      <c r="O37" s="488">
        <v>0</v>
      </c>
      <c r="P37" s="493">
        <v>31837</v>
      </c>
      <c r="S37" s="466">
        <v>2016</v>
      </c>
      <c r="T37" s="488">
        <v>30602</v>
      </c>
      <c r="U37" s="488">
        <v>18049</v>
      </c>
      <c r="V37" s="488">
        <v>87411</v>
      </c>
      <c r="W37" s="488">
        <v>2570</v>
      </c>
      <c r="X37" s="488">
        <v>0</v>
      </c>
      <c r="Y37" s="493">
        <v>138632</v>
      </c>
      <c r="AB37" s="466">
        <v>2016</v>
      </c>
      <c r="AC37" s="490">
        <v>0.81556760996013333</v>
      </c>
      <c r="AD37" s="490">
        <v>0.65432987977173251</v>
      </c>
      <c r="AE37" s="490">
        <v>0.77574904760270447</v>
      </c>
      <c r="AF37" s="490">
        <v>0.86303501945525296</v>
      </c>
      <c r="AG37" s="490"/>
      <c r="AH37" s="494">
        <v>0.77034883720930236</v>
      </c>
    </row>
    <row r="38" spans="2:34" s="316" customFormat="1" ht="12.75" x14ac:dyDescent="0.2">
      <c r="B38" s="487">
        <v>2017</v>
      </c>
      <c r="C38" s="488">
        <v>26116</v>
      </c>
      <c r="D38" s="488">
        <v>11910</v>
      </c>
      <c r="E38" s="488">
        <v>82186</v>
      </c>
      <c r="F38" s="488">
        <v>2802</v>
      </c>
      <c r="G38" s="488">
        <v>0</v>
      </c>
      <c r="H38" s="493">
        <v>123014</v>
      </c>
      <c r="J38" s="487">
        <v>2017</v>
      </c>
      <c r="K38" s="488">
        <v>5742</v>
      </c>
      <c r="L38" s="488">
        <v>6377</v>
      </c>
      <c r="M38" s="488">
        <v>21179</v>
      </c>
      <c r="N38" s="488">
        <v>361</v>
      </c>
      <c r="O38" s="488">
        <v>0</v>
      </c>
      <c r="P38" s="493">
        <v>33659</v>
      </c>
      <c r="S38" s="466">
        <v>2017</v>
      </c>
      <c r="T38" s="488">
        <v>31858</v>
      </c>
      <c r="U38" s="488">
        <v>18287</v>
      </c>
      <c r="V38" s="488">
        <v>103365</v>
      </c>
      <c r="W38" s="488">
        <v>3163</v>
      </c>
      <c r="X38" s="488">
        <v>0</v>
      </c>
      <c r="Y38" s="493">
        <v>156673</v>
      </c>
      <c r="AB38" s="466">
        <v>2017</v>
      </c>
      <c r="AC38" s="490">
        <v>0.81976269696779458</v>
      </c>
      <c r="AD38" s="490">
        <v>0.65128233171105154</v>
      </c>
      <c r="AE38" s="490">
        <v>0.7951047259710734</v>
      </c>
      <c r="AF38" s="490">
        <v>0.88586784698071452</v>
      </c>
      <c r="AG38" s="490"/>
      <c r="AH38" s="494">
        <v>0.78516400400834863</v>
      </c>
    </row>
    <row r="39" spans="2:34" s="316" customFormat="1" ht="12.75" x14ac:dyDescent="0.2">
      <c r="B39" s="487">
        <v>2018</v>
      </c>
      <c r="C39" s="488">
        <v>28351</v>
      </c>
      <c r="D39" s="488">
        <v>10990</v>
      </c>
      <c r="E39" s="488">
        <v>111944</v>
      </c>
      <c r="F39" s="488">
        <v>5864</v>
      </c>
      <c r="G39" s="488">
        <v>0</v>
      </c>
      <c r="H39" s="493">
        <v>157149</v>
      </c>
      <c r="J39" s="487">
        <v>2018</v>
      </c>
      <c r="K39" s="488">
        <v>3100</v>
      </c>
      <c r="L39" s="488">
        <v>5936</v>
      </c>
      <c r="M39" s="488">
        <v>11484</v>
      </c>
      <c r="N39" s="488">
        <v>402</v>
      </c>
      <c r="O39" s="488">
        <v>0</v>
      </c>
      <c r="P39" s="493">
        <v>20922</v>
      </c>
      <c r="S39" s="466">
        <v>2018</v>
      </c>
      <c r="T39" s="488">
        <v>31451</v>
      </c>
      <c r="U39" s="488">
        <v>16926</v>
      </c>
      <c r="V39" s="488">
        <v>123428</v>
      </c>
      <c r="W39" s="488">
        <v>6266</v>
      </c>
      <c r="X39" s="488">
        <v>0</v>
      </c>
      <c r="Y39" s="493">
        <v>178071</v>
      </c>
      <c r="AB39" s="466">
        <v>2018</v>
      </c>
      <c r="AC39" s="490">
        <v>0.90143397666210934</v>
      </c>
      <c r="AD39" s="490">
        <v>0.64929693961952029</v>
      </c>
      <c r="AE39" s="490">
        <v>0.90695790258288234</v>
      </c>
      <c r="AF39" s="490">
        <v>0.93584423874880307</v>
      </c>
      <c r="AG39" s="490"/>
      <c r="AH39" s="494">
        <v>0.88250753912765134</v>
      </c>
    </row>
    <row r="40" spans="2:34" s="316" customFormat="1" ht="12.75" x14ac:dyDescent="0.2">
      <c r="B40" s="487">
        <v>2019</v>
      </c>
      <c r="C40" s="488">
        <v>26756</v>
      </c>
      <c r="D40" s="488">
        <v>10802</v>
      </c>
      <c r="E40" s="488">
        <v>102022</v>
      </c>
      <c r="F40" s="488">
        <v>5629</v>
      </c>
      <c r="G40" s="488">
        <v>0</v>
      </c>
      <c r="H40" s="493">
        <v>145209</v>
      </c>
      <c r="J40" s="487">
        <v>2019</v>
      </c>
      <c r="K40" s="488">
        <v>2839</v>
      </c>
      <c r="L40" s="488">
        <v>5739</v>
      </c>
      <c r="M40" s="488">
        <v>10706</v>
      </c>
      <c r="N40" s="488">
        <v>441</v>
      </c>
      <c r="O40" s="488">
        <v>0</v>
      </c>
      <c r="P40" s="493">
        <v>19725</v>
      </c>
      <c r="S40" s="466">
        <v>2019</v>
      </c>
      <c r="T40" s="488">
        <v>29595</v>
      </c>
      <c r="U40" s="488">
        <v>16541</v>
      </c>
      <c r="V40" s="488">
        <v>112728</v>
      </c>
      <c r="W40" s="488">
        <v>6070</v>
      </c>
      <c r="X40" s="488">
        <v>0</v>
      </c>
      <c r="Y40" s="493">
        <v>164934</v>
      </c>
      <c r="AB40" s="466">
        <v>2019</v>
      </c>
      <c r="AC40" s="490">
        <v>0.90407163372191246</v>
      </c>
      <c r="AD40" s="490">
        <v>0.65304395139350702</v>
      </c>
      <c r="AE40" s="490">
        <v>0.90502803207721239</v>
      </c>
      <c r="AF40" s="490">
        <v>0.92734761120263587</v>
      </c>
      <c r="AG40" s="490"/>
      <c r="AH40" s="494">
        <v>0.88040670813780053</v>
      </c>
    </row>
    <row r="41" spans="2:34" s="316" customFormat="1" ht="12.75" x14ac:dyDescent="0.2">
      <c r="B41" s="487">
        <v>2020</v>
      </c>
      <c r="C41" s="488">
        <v>27128</v>
      </c>
      <c r="D41" s="488">
        <v>9793</v>
      </c>
      <c r="E41" s="488">
        <v>149617</v>
      </c>
      <c r="F41" s="488">
        <v>7155</v>
      </c>
      <c r="G41" s="488">
        <v>0</v>
      </c>
      <c r="H41" s="493">
        <v>193693</v>
      </c>
      <c r="J41" s="487">
        <v>2020</v>
      </c>
      <c r="K41" s="488">
        <v>3144</v>
      </c>
      <c r="L41" s="488">
        <v>5137</v>
      </c>
      <c r="M41" s="488">
        <v>16750</v>
      </c>
      <c r="N41" s="488">
        <v>576</v>
      </c>
      <c r="O41" s="488">
        <v>0</v>
      </c>
      <c r="P41" s="493">
        <v>25607</v>
      </c>
      <c r="S41" s="466">
        <v>2020</v>
      </c>
      <c r="T41" s="488">
        <v>30272</v>
      </c>
      <c r="U41" s="488">
        <v>14930</v>
      </c>
      <c r="V41" s="488">
        <v>166367</v>
      </c>
      <c r="W41" s="488">
        <v>7731</v>
      </c>
      <c r="X41" s="488">
        <v>0</v>
      </c>
      <c r="Y41" s="493">
        <v>219300</v>
      </c>
      <c r="AB41" s="466">
        <v>2020</v>
      </c>
      <c r="AC41" s="490">
        <v>0.89614164904862581</v>
      </c>
      <c r="AD41" s="490">
        <v>0.65592766242464839</v>
      </c>
      <c r="AE41" s="490">
        <v>0.89931897551798134</v>
      </c>
      <c r="AF41" s="490">
        <v>0.92549476135040742</v>
      </c>
      <c r="AG41" s="490"/>
      <c r="AH41" s="494">
        <v>0.88323301413588695</v>
      </c>
    </row>
    <row r="42" spans="2:34" s="316" customFormat="1" ht="12.75" x14ac:dyDescent="0.2">
      <c r="B42" s="487">
        <v>2021</v>
      </c>
      <c r="C42" s="488">
        <v>35510</v>
      </c>
      <c r="D42" s="488">
        <v>16097</v>
      </c>
      <c r="E42" s="488">
        <v>166466</v>
      </c>
      <c r="F42" s="488">
        <v>19070</v>
      </c>
      <c r="G42" s="488">
        <v>0</v>
      </c>
      <c r="H42" s="493">
        <v>237143</v>
      </c>
      <c r="J42" s="487">
        <v>2021</v>
      </c>
      <c r="K42" s="488">
        <v>5931</v>
      </c>
      <c r="L42" s="488">
        <v>10672</v>
      </c>
      <c r="M42" s="488">
        <v>24446</v>
      </c>
      <c r="N42" s="488">
        <v>1421</v>
      </c>
      <c r="O42" s="488">
        <v>0</v>
      </c>
      <c r="P42" s="493">
        <v>42470</v>
      </c>
      <c r="S42" s="466">
        <v>2021</v>
      </c>
      <c r="T42" s="488">
        <v>41441</v>
      </c>
      <c r="U42" s="488">
        <v>26769</v>
      </c>
      <c r="V42" s="488">
        <v>190912</v>
      </c>
      <c r="W42" s="488">
        <v>20491</v>
      </c>
      <c r="X42" s="488">
        <v>0</v>
      </c>
      <c r="Y42" s="493">
        <v>279613</v>
      </c>
      <c r="AB42" s="466">
        <v>2021</v>
      </c>
      <c r="AC42" s="490">
        <v>0.85688086677445041</v>
      </c>
      <c r="AD42" s="490">
        <v>0.60132989652209645</v>
      </c>
      <c r="AE42" s="490">
        <v>0.87195147502514248</v>
      </c>
      <c r="AF42" s="490">
        <v>0.93065248157727787</v>
      </c>
      <c r="AG42" s="490"/>
      <c r="AH42" s="494">
        <v>0.84811149696187227</v>
      </c>
    </row>
    <row r="43" spans="2:34" s="316" customFormat="1" ht="12.75" x14ac:dyDescent="0.2">
      <c r="B43" s="487">
        <v>2022</v>
      </c>
      <c r="C43" s="488">
        <v>4537</v>
      </c>
      <c r="D43" s="488">
        <v>19538</v>
      </c>
      <c r="E43" s="488">
        <v>20672</v>
      </c>
      <c r="F43" s="488">
        <v>16501</v>
      </c>
      <c r="G43" s="488">
        <v>493826</v>
      </c>
      <c r="H43" s="493">
        <v>555074</v>
      </c>
      <c r="J43" s="487">
        <v>2022</v>
      </c>
      <c r="K43" s="488">
        <v>343</v>
      </c>
      <c r="L43" s="488">
        <v>16219</v>
      </c>
      <c r="M43" s="488">
        <v>1239</v>
      </c>
      <c r="N43" s="488">
        <v>3154</v>
      </c>
      <c r="O43" s="488">
        <v>76228</v>
      </c>
      <c r="P43" s="493">
        <v>97183</v>
      </c>
      <c r="S43" s="466">
        <v>2022</v>
      </c>
      <c r="T43" s="488">
        <v>4880</v>
      </c>
      <c r="U43" s="488">
        <v>35757</v>
      </c>
      <c r="V43" s="488">
        <v>21911</v>
      </c>
      <c r="W43" s="488">
        <v>19655</v>
      </c>
      <c r="X43" s="488">
        <v>570054</v>
      </c>
      <c r="Y43" s="493">
        <v>652257</v>
      </c>
      <c r="AB43" s="466">
        <v>2022</v>
      </c>
      <c r="AC43" s="490">
        <v>0.92971311475409835</v>
      </c>
      <c r="AD43" s="490">
        <v>0.54641049305031186</v>
      </c>
      <c r="AE43" s="490">
        <v>0.94345306010679564</v>
      </c>
      <c r="AF43" s="490">
        <v>0.83953192571864665</v>
      </c>
      <c r="AG43" s="490">
        <v>0.8662793349401986</v>
      </c>
      <c r="AH43" s="494">
        <v>0.85100504862347204</v>
      </c>
    </row>
    <row r="44" spans="2:34" s="316" customFormat="1" ht="12.75" x14ac:dyDescent="0.2">
      <c r="B44" s="487">
        <v>2023</v>
      </c>
      <c r="C44" s="488">
        <v>0</v>
      </c>
      <c r="D44" s="488">
        <v>18213</v>
      </c>
      <c r="E44" s="488">
        <v>0</v>
      </c>
      <c r="F44" s="488">
        <v>12593</v>
      </c>
      <c r="G44" s="488">
        <v>238333</v>
      </c>
      <c r="H44" s="493">
        <v>269139</v>
      </c>
      <c r="J44" s="487">
        <v>2023</v>
      </c>
      <c r="K44" s="488">
        <v>0</v>
      </c>
      <c r="L44" s="488">
        <v>13624</v>
      </c>
      <c r="M44" s="488">
        <v>0</v>
      </c>
      <c r="N44" s="488">
        <v>2039</v>
      </c>
      <c r="O44" s="488">
        <v>31165</v>
      </c>
      <c r="P44" s="493">
        <v>46828</v>
      </c>
      <c r="S44" s="466">
        <v>2023</v>
      </c>
      <c r="T44" s="488">
        <v>0</v>
      </c>
      <c r="U44" s="488">
        <v>31837</v>
      </c>
      <c r="V44" s="488">
        <v>0</v>
      </c>
      <c r="W44" s="488">
        <v>14632</v>
      </c>
      <c r="X44" s="488">
        <v>269498</v>
      </c>
      <c r="Y44" s="493">
        <v>315967</v>
      </c>
      <c r="AB44" s="466">
        <v>2023</v>
      </c>
      <c r="AC44" s="490"/>
      <c r="AD44" s="490">
        <v>0.57207023274806046</v>
      </c>
      <c r="AE44" s="490"/>
      <c r="AF44" s="490">
        <v>0.86064789502460359</v>
      </c>
      <c r="AG44" s="490">
        <v>0.88435906759975957</v>
      </c>
      <c r="AH44" s="494">
        <v>0.85179464944123917</v>
      </c>
    </row>
    <row r="45" spans="2:34" s="316" customFormat="1" ht="12.75" x14ac:dyDescent="0.2">
      <c r="B45" s="487">
        <v>2024</v>
      </c>
      <c r="C45" s="488">
        <v>0</v>
      </c>
      <c r="D45" s="488">
        <v>18611</v>
      </c>
      <c r="E45" s="488">
        <v>0</v>
      </c>
      <c r="F45" s="488">
        <v>13744</v>
      </c>
      <c r="G45" s="488">
        <v>208725</v>
      </c>
      <c r="H45" s="493">
        <v>241080</v>
      </c>
      <c r="J45" s="487">
        <v>2024</v>
      </c>
      <c r="K45" s="488">
        <v>0</v>
      </c>
      <c r="L45" s="488">
        <v>17295</v>
      </c>
      <c r="M45" s="488">
        <v>0</v>
      </c>
      <c r="N45" s="488">
        <v>3621</v>
      </c>
      <c r="O45" s="488">
        <v>42117</v>
      </c>
      <c r="P45" s="493">
        <v>63033</v>
      </c>
      <c r="S45" s="466">
        <v>2024</v>
      </c>
      <c r="T45" s="488">
        <v>0</v>
      </c>
      <c r="U45" s="488">
        <v>35906</v>
      </c>
      <c r="V45" s="488">
        <v>0</v>
      </c>
      <c r="W45" s="488">
        <v>17365</v>
      </c>
      <c r="X45" s="489">
        <v>250842</v>
      </c>
      <c r="Y45" s="493">
        <v>304113</v>
      </c>
      <c r="Z45" s="469"/>
      <c r="AB45" s="466">
        <v>2024</v>
      </c>
      <c r="AC45" s="490"/>
      <c r="AD45" s="490">
        <v>0.51832562802874171</v>
      </c>
      <c r="AE45" s="490"/>
      <c r="AF45" s="490">
        <v>0.79147710912755542</v>
      </c>
      <c r="AG45" s="490">
        <v>0.83209749563470237</v>
      </c>
      <c r="AH45" s="494">
        <v>0.79273164909096294</v>
      </c>
    </row>
    <row r="46" spans="2:34" s="316" customFormat="1" ht="12.75" x14ac:dyDescent="0.2">
      <c r="B46" s="487">
        <v>2025</v>
      </c>
      <c r="C46" s="488">
        <v>0</v>
      </c>
      <c r="D46" s="488">
        <v>4604</v>
      </c>
      <c r="E46" s="488">
        <v>0</v>
      </c>
      <c r="F46" s="488">
        <v>8022</v>
      </c>
      <c r="G46" s="488">
        <v>138907</v>
      </c>
      <c r="H46" s="493">
        <v>151533</v>
      </c>
      <c r="J46" s="487">
        <v>2025</v>
      </c>
      <c r="K46" s="488">
        <v>0</v>
      </c>
      <c r="L46" s="488">
        <v>4368</v>
      </c>
      <c r="M46" s="488">
        <v>0</v>
      </c>
      <c r="N46" s="488">
        <v>1511</v>
      </c>
      <c r="O46" s="488">
        <v>24368</v>
      </c>
      <c r="P46" s="493">
        <v>30247</v>
      </c>
      <c r="S46" s="466">
        <v>2025</v>
      </c>
      <c r="T46" s="488">
        <v>0</v>
      </c>
      <c r="U46" s="488">
        <v>8972</v>
      </c>
      <c r="V46" s="488">
        <v>0</v>
      </c>
      <c r="W46" s="488">
        <v>9533</v>
      </c>
      <c r="X46" s="489">
        <v>163275</v>
      </c>
      <c r="Y46" s="493">
        <v>181780</v>
      </c>
      <c r="Z46" s="469"/>
      <c r="AB46" s="466">
        <v>2025</v>
      </c>
      <c r="AC46" s="490"/>
      <c r="AD46" s="490">
        <v>0.5131520285332144</v>
      </c>
      <c r="AE46" s="490"/>
      <c r="AF46" s="490">
        <v>0.84149795447393261</v>
      </c>
      <c r="AG46" s="490">
        <v>0.85075486143010259</v>
      </c>
      <c r="AH46" s="494">
        <v>0.83360655737704914</v>
      </c>
    </row>
    <row r="47" spans="2:34" s="316" customFormat="1" ht="12.75" x14ac:dyDescent="0.2">
      <c r="B47" s="495" t="s">
        <v>5</v>
      </c>
      <c r="C47" s="493">
        <v>498945</v>
      </c>
      <c r="D47" s="493">
        <v>239781</v>
      </c>
      <c r="E47" s="493">
        <v>1535704</v>
      </c>
      <c r="F47" s="493">
        <v>144037</v>
      </c>
      <c r="G47" s="493">
        <v>1079791</v>
      </c>
      <c r="H47" s="493">
        <v>3498258</v>
      </c>
      <c r="J47" s="495" t="s">
        <v>5</v>
      </c>
      <c r="K47" s="493">
        <v>59585</v>
      </c>
      <c r="L47" s="493">
        <v>174277</v>
      </c>
      <c r="M47" s="493">
        <v>257412</v>
      </c>
      <c r="N47" s="493">
        <v>27095</v>
      </c>
      <c r="O47" s="493">
        <v>173878</v>
      </c>
      <c r="P47" s="493">
        <v>692247</v>
      </c>
      <c r="S47" s="496" t="s">
        <v>5</v>
      </c>
      <c r="T47" s="493">
        <v>558530</v>
      </c>
      <c r="U47" s="493">
        <v>414058</v>
      </c>
      <c r="V47" s="493">
        <v>1793116</v>
      </c>
      <c r="W47" s="493">
        <v>171132</v>
      </c>
      <c r="X47" s="493">
        <v>1253669</v>
      </c>
      <c r="Y47" s="493">
        <v>4190505</v>
      </c>
      <c r="AB47" s="496" t="s">
        <v>5</v>
      </c>
      <c r="AC47" s="494">
        <v>0.89331817449376039</v>
      </c>
      <c r="AD47" s="494">
        <v>0.57910002946447114</v>
      </c>
      <c r="AE47" s="494">
        <v>0.85644431258211962</v>
      </c>
      <c r="AF47" s="494">
        <v>0.84167192576490657</v>
      </c>
      <c r="AG47" s="494">
        <v>0.86130469844911217</v>
      </c>
      <c r="AH47" s="494">
        <v>0.83480582889174459</v>
      </c>
    </row>
    <row r="48" spans="2:34" x14ac:dyDescent="0.25">
      <c r="B48" s="74" t="s">
        <v>660</v>
      </c>
      <c r="C48" s="67"/>
      <c r="D48" s="67"/>
      <c r="E48" s="67"/>
      <c r="F48" s="67"/>
      <c r="G48" s="67"/>
      <c r="H48" s="67"/>
      <c r="J48" s="74" t="s">
        <v>660</v>
      </c>
      <c r="S48" s="74" t="s">
        <v>660</v>
      </c>
      <c r="T48" s="468"/>
      <c r="U48" s="468"/>
      <c r="V48" s="468"/>
      <c r="W48" s="468"/>
      <c r="X48" s="468"/>
      <c r="Y48" s="468"/>
      <c r="AB48" s="74" t="s">
        <v>660</v>
      </c>
    </row>
    <row r="49" spans="2:32" x14ac:dyDescent="0.25">
      <c r="B49" s="74"/>
      <c r="C49" s="67"/>
      <c r="D49" s="67"/>
      <c r="E49" s="67"/>
      <c r="F49" s="67"/>
      <c r="G49" s="67"/>
      <c r="H49" s="67"/>
      <c r="J49" s="74"/>
      <c r="S49" s="74"/>
      <c r="T49" s="468"/>
      <c r="U49" s="468"/>
      <c r="V49" s="468"/>
      <c r="W49" s="468"/>
      <c r="X49" s="468"/>
      <c r="Y49" s="468"/>
      <c r="AB49" s="74"/>
    </row>
    <row r="51" spans="2:32" s="316" customFormat="1" ht="24" customHeight="1" x14ac:dyDescent="0.2">
      <c r="B51" s="540" t="s">
        <v>564</v>
      </c>
      <c r="C51" s="540"/>
      <c r="D51" s="540"/>
      <c r="E51" s="540"/>
      <c r="F51" s="540"/>
      <c r="G51" s="540"/>
      <c r="H51" s="481"/>
      <c r="I51" s="331"/>
      <c r="J51" s="540" t="s">
        <v>565</v>
      </c>
      <c r="K51" s="540"/>
      <c r="L51" s="540"/>
      <c r="M51" s="540"/>
      <c r="N51" s="540"/>
      <c r="O51" s="482"/>
      <c r="P51" s="482"/>
      <c r="Q51" s="482"/>
      <c r="S51" s="540" t="s">
        <v>158</v>
      </c>
      <c r="T51" s="540"/>
      <c r="U51" s="540"/>
      <c r="V51" s="540"/>
      <c r="W51" s="540"/>
      <c r="X51" s="482"/>
      <c r="Y51" s="482"/>
      <c r="Z51" s="482"/>
      <c r="AA51" s="482"/>
      <c r="AB51" s="540" t="s">
        <v>663</v>
      </c>
      <c r="AC51" s="540"/>
      <c r="AD51" s="540"/>
      <c r="AE51" s="540"/>
      <c r="AF51" s="540"/>
    </row>
    <row r="52" spans="2:32" s="316" customFormat="1" ht="12.75" x14ac:dyDescent="0.2">
      <c r="B52" s="79" t="s">
        <v>6</v>
      </c>
      <c r="C52" s="79" t="s">
        <v>29</v>
      </c>
      <c r="D52" s="79" t="s">
        <v>30</v>
      </c>
      <c r="E52" s="79" t="s">
        <v>5</v>
      </c>
      <c r="I52" s="331"/>
      <c r="J52" s="79" t="s">
        <v>6</v>
      </c>
      <c r="K52" s="79" t="s">
        <v>29</v>
      </c>
      <c r="L52" s="79" t="s">
        <v>30</v>
      </c>
      <c r="M52" s="79" t="s">
        <v>5</v>
      </c>
      <c r="S52" s="79" t="s">
        <v>6</v>
      </c>
      <c r="T52" s="79" t="s">
        <v>29</v>
      </c>
      <c r="U52" s="79" t="s">
        <v>30</v>
      </c>
      <c r="V52" s="79" t="s">
        <v>5</v>
      </c>
      <c r="AB52" s="79" t="s">
        <v>6</v>
      </c>
      <c r="AC52" s="79" t="s">
        <v>29</v>
      </c>
      <c r="AD52" s="79" t="s">
        <v>30</v>
      </c>
      <c r="AE52" s="79" t="s">
        <v>5</v>
      </c>
    </row>
    <row r="53" spans="2:32" s="316" customFormat="1" ht="12.75" x14ac:dyDescent="0.2">
      <c r="B53" s="89">
        <v>2008</v>
      </c>
      <c r="C53" s="333">
        <v>89477</v>
      </c>
      <c r="D53" s="333">
        <v>26721</v>
      </c>
      <c r="E53" s="91">
        <v>116198</v>
      </c>
      <c r="I53" s="331"/>
      <c r="J53" s="89">
        <v>2008</v>
      </c>
      <c r="K53" s="333">
        <v>18947</v>
      </c>
      <c r="L53" s="333">
        <v>5246</v>
      </c>
      <c r="M53" s="91">
        <v>24193</v>
      </c>
      <c r="S53" s="89">
        <v>2008</v>
      </c>
      <c r="T53" s="333">
        <v>108424</v>
      </c>
      <c r="U53" s="333">
        <v>31967</v>
      </c>
      <c r="V53" s="91">
        <v>140391</v>
      </c>
      <c r="AB53" s="89">
        <v>2008</v>
      </c>
      <c r="AC53" s="479">
        <v>0.82525086696672323</v>
      </c>
      <c r="AD53" s="479">
        <v>0.83589326492945848</v>
      </c>
      <c r="AE53" s="480">
        <v>0.82767413865561179</v>
      </c>
    </row>
    <row r="54" spans="2:32" s="316" customFormat="1" ht="12.75" x14ac:dyDescent="0.2">
      <c r="B54" s="89">
        <v>2009</v>
      </c>
      <c r="C54" s="333">
        <v>225377</v>
      </c>
      <c r="D54" s="333">
        <v>140886</v>
      </c>
      <c r="E54" s="91">
        <v>366263</v>
      </c>
      <c r="I54" s="331"/>
      <c r="J54" s="89">
        <v>2009</v>
      </c>
      <c r="K54" s="333">
        <v>30548</v>
      </c>
      <c r="L54" s="333">
        <v>7424</v>
      </c>
      <c r="M54" s="91">
        <v>37972</v>
      </c>
      <c r="S54" s="89">
        <v>2009</v>
      </c>
      <c r="T54" s="333">
        <v>255925</v>
      </c>
      <c r="U54" s="333">
        <v>148310</v>
      </c>
      <c r="V54" s="91">
        <v>404235</v>
      </c>
      <c r="AB54" s="89">
        <v>2009</v>
      </c>
      <c r="AC54" s="479">
        <v>0.88063690534336236</v>
      </c>
      <c r="AD54" s="479">
        <v>0.94994268761378198</v>
      </c>
      <c r="AE54" s="480">
        <v>0.90606454166512052</v>
      </c>
    </row>
    <row r="55" spans="2:32" s="316" customFormat="1" ht="12.75" x14ac:dyDescent="0.2">
      <c r="B55" s="89">
        <v>2010</v>
      </c>
      <c r="C55" s="333">
        <v>119677</v>
      </c>
      <c r="D55" s="333">
        <v>77512</v>
      </c>
      <c r="E55" s="91">
        <v>197189</v>
      </c>
      <c r="I55" s="331"/>
      <c r="J55" s="89">
        <v>2010</v>
      </c>
      <c r="K55" s="333">
        <v>32363</v>
      </c>
      <c r="L55" s="333">
        <v>14928</v>
      </c>
      <c r="M55" s="91">
        <v>47291</v>
      </c>
      <c r="S55" s="89">
        <v>2010</v>
      </c>
      <c r="T55" s="333">
        <v>152040</v>
      </c>
      <c r="U55" s="333">
        <v>92440</v>
      </c>
      <c r="V55" s="91">
        <v>244480</v>
      </c>
      <c r="AB55" s="89">
        <v>2010</v>
      </c>
      <c r="AC55" s="479">
        <v>0.78714154169955275</v>
      </c>
      <c r="AD55" s="479">
        <v>0.83851146689744704</v>
      </c>
      <c r="AE55" s="480">
        <v>0.80656495418848173</v>
      </c>
    </row>
    <row r="56" spans="2:32" s="316" customFormat="1" ht="12.75" x14ac:dyDescent="0.2">
      <c r="B56" s="89">
        <v>2011</v>
      </c>
      <c r="C56" s="333">
        <v>84839</v>
      </c>
      <c r="D56" s="333">
        <v>54470</v>
      </c>
      <c r="E56" s="91">
        <v>139309</v>
      </c>
      <c r="I56" s="331"/>
      <c r="J56" s="89">
        <v>2011</v>
      </c>
      <c r="K56" s="333">
        <v>37699</v>
      </c>
      <c r="L56" s="333">
        <v>16498</v>
      </c>
      <c r="M56" s="91">
        <v>54197</v>
      </c>
      <c r="S56" s="89">
        <v>2011</v>
      </c>
      <c r="T56" s="333">
        <v>122538</v>
      </c>
      <c r="U56" s="333">
        <v>70968</v>
      </c>
      <c r="V56" s="91">
        <v>193506</v>
      </c>
      <c r="AB56" s="89">
        <v>2011</v>
      </c>
      <c r="AC56" s="479">
        <v>0.69234849597675818</v>
      </c>
      <c r="AD56" s="479">
        <v>0.76752902716717397</v>
      </c>
      <c r="AE56" s="480">
        <v>0.7199208293282896</v>
      </c>
    </row>
    <row r="57" spans="2:32" s="316" customFormat="1" ht="12.75" x14ac:dyDescent="0.2">
      <c r="B57" s="89">
        <v>2012</v>
      </c>
      <c r="C57" s="333">
        <v>95754</v>
      </c>
      <c r="D57" s="333">
        <v>64378</v>
      </c>
      <c r="E57" s="91">
        <v>160132</v>
      </c>
      <c r="I57" s="331"/>
      <c r="J57" s="89">
        <v>2012</v>
      </c>
      <c r="K57" s="333">
        <v>22288</v>
      </c>
      <c r="L57" s="333">
        <v>8812</v>
      </c>
      <c r="M57" s="91">
        <v>31100</v>
      </c>
      <c r="S57" s="89">
        <v>2012</v>
      </c>
      <c r="T57" s="333">
        <v>118042</v>
      </c>
      <c r="U57" s="333">
        <v>73190</v>
      </c>
      <c r="V57" s="91">
        <v>191232</v>
      </c>
      <c r="AB57" s="89">
        <v>2012</v>
      </c>
      <c r="AC57" s="479">
        <v>0.81118584910455604</v>
      </c>
      <c r="AD57" s="479">
        <v>0.87960103839322312</v>
      </c>
      <c r="AE57" s="480">
        <v>0.83737031459170008</v>
      </c>
    </row>
    <row r="58" spans="2:32" s="316" customFormat="1" ht="12.75" x14ac:dyDescent="0.2">
      <c r="B58" s="89">
        <v>2013</v>
      </c>
      <c r="C58" s="333">
        <v>65748</v>
      </c>
      <c r="D58" s="333">
        <v>44360</v>
      </c>
      <c r="E58" s="91">
        <v>110108</v>
      </c>
      <c r="I58" s="331"/>
      <c r="J58" s="89">
        <v>2013</v>
      </c>
      <c r="K58" s="333">
        <v>15792</v>
      </c>
      <c r="L58" s="333">
        <v>7374</v>
      </c>
      <c r="M58" s="91">
        <v>23166</v>
      </c>
      <c r="S58" s="89">
        <v>2013</v>
      </c>
      <c r="T58" s="333">
        <v>81540</v>
      </c>
      <c r="U58" s="333">
        <v>51734</v>
      </c>
      <c r="V58" s="91">
        <v>133274</v>
      </c>
      <c r="AB58" s="89">
        <v>2013</v>
      </c>
      <c r="AC58" s="479">
        <v>0.8063281824871229</v>
      </c>
      <c r="AD58" s="479">
        <v>0.85746317702091468</v>
      </c>
      <c r="AE58" s="480">
        <v>0.82617764905382896</v>
      </c>
    </row>
    <row r="59" spans="2:32" s="316" customFormat="1" ht="12.75" x14ac:dyDescent="0.2">
      <c r="B59" s="89">
        <v>2014</v>
      </c>
      <c r="C59" s="333">
        <v>70004</v>
      </c>
      <c r="D59" s="333">
        <v>47881</v>
      </c>
      <c r="E59" s="91">
        <v>117885</v>
      </c>
      <c r="I59" s="331"/>
      <c r="J59" s="89">
        <v>2014</v>
      </c>
      <c r="K59" s="333">
        <v>22698</v>
      </c>
      <c r="L59" s="333">
        <v>10710</v>
      </c>
      <c r="M59" s="91">
        <v>33408</v>
      </c>
      <c r="S59" s="89">
        <v>2014</v>
      </c>
      <c r="T59" s="333">
        <v>92702</v>
      </c>
      <c r="U59" s="333">
        <v>58591</v>
      </c>
      <c r="V59" s="91">
        <v>151293</v>
      </c>
      <c r="AB59" s="89">
        <v>2014</v>
      </c>
      <c r="AC59" s="479">
        <v>0.75515091368039522</v>
      </c>
      <c r="AD59" s="479">
        <v>0.81720742093495591</v>
      </c>
      <c r="AE59" s="480">
        <v>0.77918343875790685</v>
      </c>
    </row>
    <row r="60" spans="2:32" s="316" customFormat="1" ht="12.75" x14ac:dyDescent="0.2">
      <c r="B60" s="89">
        <v>2015</v>
      </c>
      <c r="C60" s="333">
        <v>65990</v>
      </c>
      <c r="D60" s="333">
        <v>45355</v>
      </c>
      <c r="E60" s="91">
        <v>111345</v>
      </c>
      <c r="I60" s="331"/>
      <c r="J60" s="89">
        <v>2015</v>
      </c>
      <c r="K60" s="333">
        <v>20102</v>
      </c>
      <c r="L60" s="333">
        <v>9307</v>
      </c>
      <c r="M60" s="91">
        <v>29409</v>
      </c>
      <c r="S60" s="89">
        <v>2015</v>
      </c>
      <c r="T60" s="333">
        <v>86092</v>
      </c>
      <c r="U60" s="333">
        <v>54662</v>
      </c>
      <c r="V60" s="91">
        <v>140754</v>
      </c>
      <c r="AB60" s="89">
        <v>2015</v>
      </c>
      <c r="AC60" s="479">
        <v>0.7665055986618966</v>
      </c>
      <c r="AD60" s="479">
        <v>0.82973546522264097</v>
      </c>
      <c r="AE60" s="480">
        <v>0.79106100004262758</v>
      </c>
    </row>
    <row r="61" spans="2:32" s="316" customFormat="1" ht="12.75" x14ac:dyDescent="0.2">
      <c r="B61" s="89">
        <v>2016</v>
      </c>
      <c r="C61" s="333">
        <v>64583</v>
      </c>
      <c r="D61" s="333">
        <v>42212</v>
      </c>
      <c r="E61" s="91">
        <v>106795</v>
      </c>
      <c r="I61" s="331"/>
      <c r="J61" s="89">
        <v>2016</v>
      </c>
      <c r="K61" s="333">
        <v>21719</v>
      </c>
      <c r="L61" s="333">
        <v>10118</v>
      </c>
      <c r="M61" s="91">
        <v>31837</v>
      </c>
      <c r="S61" s="89">
        <v>2016</v>
      </c>
      <c r="T61" s="333">
        <v>86302</v>
      </c>
      <c r="U61" s="333">
        <v>52330</v>
      </c>
      <c r="V61" s="91">
        <v>138632</v>
      </c>
      <c r="AB61" s="89">
        <v>2016</v>
      </c>
      <c r="AC61" s="479">
        <v>0.74833723436305066</v>
      </c>
      <c r="AD61" s="479">
        <v>0.80665010510223578</v>
      </c>
      <c r="AE61" s="480">
        <v>0.77034883720930236</v>
      </c>
    </row>
    <row r="62" spans="2:32" s="316" customFormat="1" ht="12.75" x14ac:dyDescent="0.2">
      <c r="B62" s="89">
        <v>2017</v>
      </c>
      <c r="C62" s="333">
        <v>72297</v>
      </c>
      <c r="D62" s="333">
        <v>50717</v>
      </c>
      <c r="E62" s="91">
        <v>123014</v>
      </c>
      <c r="I62" s="331"/>
      <c r="J62" s="89">
        <v>2017</v>
      </c>
      <c r="K62" s="333">
        <v>22804</v>
      </c>
      <c r="L62" s="333">
        <v>10855</v>
      </c>
      <c r="M62" s="91">
        <v>33659</v>
      </c>
      <c r="S62" s="89">
        <v>2017</v>
      </c>
      <c r="T62" s="333">
        <v>95101</v>
      </c>
      <c r="U62" s="333">
        <v>61572</v>
      </c>
      <c r="V62" s="91">
        <v>156673</v>
      </c>
      <c r="AB62" s="89">
        <v>2017</v>
      </c>
      <c r="AC62" s="479">
        <v>0.76021282636355036</v>
      </c>
      <c r="AD62" s="479">
        <v>0.82370233222893519</v>
      </c>
      <c r="AE62" s="480">
        <v>0.78516400400834863</v>
      </c>
    </row>
    <row r="63" spans="2:32" s="316" customFormat="1" ht="12.75" x14ac:dyDescent="0.2">
      <c r="B63" s="89">
        <v>2018</v>
      </c>
      <c r="C63" s="333">
        <v>91770</v>
      </c>
      <c r="D63" s="333">
        <v>65379</v>
      </c>
      <c r="E63" s="91">
        <v>157149</v>
      </c>
      <c r="I63" s="331"/>
      <c r="J63" s="89">
        <v>2018</v>
      </c>
      <c r="K63" s="333">
        <v>15382</v>
      </c>
      <c r="L63" s="333">
        <v>5540</v>
      </c>
      <c r="M63" s="91">
        <v>20922</v>
      </c>
      <c r="S63" s="89">
        <v>2018</v>
      </c>
      <c r="T63" s="333">
        <v>107152</v>
      </c>
      <c r="U63" s="333">
        <v>70919</v>
      </c>
      <c r="V63" s="91">
        <v>178071</v>
      </c>
      <c r="AB63" s="89">
        <v>2018</v>
      </c>
      <c r="AC63" s="479">
        <v>0.85644691652978944</v>
      </c>
      <c r="AD63" s="479">
        <v>0.92188271126214416</v>
      </c>
      <c r="AE63" s="480">
        <v>0.88250753912765134</v>
      </c>
    </row>
    <row r="64" spans="2:32" s="316" customFormat="1" ht="12.75" x14ac:dyDescent="0.2">
      <c r="B64" s="89">
        <v>2019</v>
      </c>
      <c r="C64" s="333">
        <v>83709</v>
      </c>
      <c r="D64" s="333">
        <v>61500</v>
      </c>
      <c r="E64" s="91">
        <v>145209</v>
      </c>
      <c r="I64" s="331"/>
      <c r="J64" s="89">
        <v>2019</v>
      </c>
      <c r="K64" s="333">
        <v>14749</v>
      </c>
      <c r="L64" s="333">
        <v>4976</v>
      </c>
      <c r="M64" s="91">
        <v>19725</v>
      </c>
      <c r="S64" s="89">
        <v>2019</v>
      </c>
      <c r="T64" s="333">
        <v>98458</v>
      </c>
      <c r="U64" s="333">
        <v>66476</v>
      </c>
      <c r="V64" s="91">
        <v>164934</v>
      </c>
      <c r="AB64" s="89">
        <v>2019</v>
      </c>
      <c r="AC64" s="479">
        <v>0.85020008531556601</v>
      </c>
      <c r="AD64" s="479">
        <v>0.92514591732354534</v>
      </c>
      <c r="AE64" s="480">
        <v>0.88040670813780053</v>
      </c>
    </row>
    <row r="65" spans="2:31" s="316" customFormat="1" ht="12.75" x14ac:dyDescent="0.2">
      <c r="B65" s="89">
        <v>2020</v>
      </c>
      <c r="C65" s="333">
        <v>107847</v>
      </c>
      <c r="D65" s="333">
        <v>85846</v>
      </c>
      <c r="E65" s="91">
        <v>193693</v>
      </c>
      <c r="I65" s="331"/>
      <c r="J65" s="89">
        <v>2020</v>
      </c>
      <c r="K65" s="333">
        <v>18221</v>
      </c>
      <c r="L65" s="333">
        <v>7386</v>
      </c>
      <c r="M65" s="91">
        <v>25607</v>
      </c>
      <c r="S65" s="89">
        <v>2020</v>
      </c>
      <c r="T65" s="333">
        <v>126068</v>
      </c>
      <c r="U65" s="333">
        <v>93232</v>
      </c>
      <c r="V65" s="91">
        <v>219300</v>
      </c>
      <c r="AB65" s="89">
        <v>2020</v>
      </c>
      <c r="AC65" s="479">
        <v>0.85546689088428463</v>
      </c>
      <c r="AD65" s="479">
        <v>0.92077827355414454</v>
      </c>
      <c r="AE65" s="480">
        <v>0.88323301413588695</v>
      </c>
    </row>
    <row r="66" spans="2:31" s="316" customFormat="1" ht="12.75" x14ac:dyDescent="0.2">
      <c r="B66" s="89">
        <v>2021</v>
      </c>
      <c r="C66" s="333">
        <v>133964</v>
      </c>
      <c r="D66" s="333">
        <v>103179</v>
      </c>
      <c r="E66" s="91">
        <v>237143</v>
      </c>
      <c r="I66" s="331"/>
      <c r="J66" s="89">
        <v>2021</v>
      </c>
      <c r="K66" s="333">
        <v>30983</v>
      </c>
      <c r="L66" s="333">
        <v>11487</v>
      </c>
      <c r="M66" s="91">
        <v>42470</v>
      </c>
      <c r="S66" s="89">
        <v>2021</v>
      </c>
      <c r="T66" s="333">
        <v>164947</v>
      </c>
      <c r="U66" s="333">
        <v>114666</v>
      </c>
      <c r="V66" s="91">
        <v>279613</v>
      </c>
      <c r="AB66" s="89">
        <v>2021</v>
      </c>
      <c r="AC66" s="479">
        <v>0.8121639071944321</v>
      </c>
      <c r="AD66" s="479">
        <v>0.89982209198890695</v>
      </c>
      <c r="AE66" s="480">
        <v>0.84811149696187227</v>
      </c>
    </row>
    <row r="67" spans="2:31" s="316" customFormat="1" ht="12.75" x14ac:dyDescent="0.2">
      <c r="B67" s="89">
        <v>2022</v>
      </c>
      <c r="C67" s="333">
        <v>280240</v>
      </c>
      <c r="D67" s="333">
        <v>274834</v>
      </c>
      <c r="E67" s="91">
        <v>555074</v>
      </c>
      <c r="I67" s="331"/>
      <c r="J67" s="89">
        <v>2022</v>
      </c>
      <c r="K67" s="333">
        <v>50501</v>
      </c>
      <c r="L67" s="333">
        <v>46682</v>
      </c>
      <c r="M67" s="91">
        <v>97183</v>
      </c>
      <c r="S67" s="89">
        <v>2022</v>
      </c>
      <c r="T67" s="333">
        <v>330741</v>
      </c>
      <c r="U67" s="333">
        <v>321516</v>
      </c>
      <c r="V67" s="91">
        <v>652257</v>
      </c>
      <c r="AB67" s="89">
        <v>2022</v>
      </c>
      <c r="AC67" s="479">
        <v>0.84730952618514188</v>
      </c>
      <c r="AD67" s="479">
        <v>0.85480660371490069</v>
      </c>
      <c r="AE67" s="480">
        <v>0.85100504862347204</v>
      </c>
    </row>
    <row r="68" spans="2:31" s="316" customFormat="1" ht="12.75" x14ac:dyDescent="0.2">
      <c r="B68" s="89">
        <v>2023</v>
      </c>
      <c r="C68" s="333">
        <v>143832</v>
      </c>
      <c r="D68" s="333">
        <v>125307</v>
      </c>
      <c r="E68" s="91">
        <v>269139</v>
      </c>
      <c r="I68" s="331"/>
      <c r="J68" s="89">
        <v>2023</v>
      </c>
      <c r="K68" s="333">
        <v>26216</v>
      </c>
      <c r="L68" s="333">
        <v>20612</v>
      </c>
      <c r="M68" s="91">
        <v>46828</v>
      </c>
      <c r="S68" s="89">
        <v>2023</v>
      </c>
      <c r="T68" s="333">
        <v>170048</v>
      </c>
      <c r="U68" s="333">
        <v>145919</v>
      </c>
      <c r="V68" s="91">
        <v>315967</v>
      </c>
      <c r="AB68" s="89">
        <v>2023</v>
      </c>
      <c r="AC68" s="479">
        <v>0.84583176514866387</v>
      </c>
      <c r="AD68" s="479">
        <v>0.85874354950349163</v>
      </c>
      <c r="AE68" s="480">
        <v>0.85179464944123917</v>
      </c>
    </row>
    <row r="69" spans="2:31" s="316" customFormat="1" ht="12.75" x14ac:dyDescent="0.2">
      <c r="B69" s="466">
        <v>2024</v>
      </c>
      <c r="C69" s="467">
        <v>130073</v>
      </c>
      <c r="D69" s="467">
        <v>111007</v>
      </c>
      <c r="E69" s="491">
        <v>241080</v>
      </c>
      <c r="I69" s="331"/>
      <c r="J69" s="466">
        <v>2024</v>
      </c>
      <c r="K69" s="467">
        <v>36000</v>
      </c>
      <c r="L69" s="467">
        <v>27033</v>
      </c>
      <c r="M69" s="491">
        <v>63033</v>
      </c>
      <c r="S69" s="466">
        <v>2024</v>
      </c>
      <c r="T69" s="333">
        <v>166073</v>
      </c>
      <c r="U69" s="333">
        <v>138040</v>
      </c>
      <c r="V69" s="491">
        <v>304113</v>
      </c>
      <c r="AB69" s="466">
        <v>2024</v>
      </c>
      <c r="AC69" s="479">
        <v>0.78322785762887404</v>
      </c>
      <c r="AD69" s="479">
        <v>0.8041654592871631</v>
      </c>
      <c r="AE69" s="492">
        <v>0.79273164909096294</v>
      </c>
    </row>
    <row r="70" spans="2:31" s="316" customFormat="1" ht="12.75" x14ac:dyDescent="0.2">
      <c r="B70" s="466">
        <v>2025</v>
      </c>
      <c r="C70" s="467">
        <v>81174</v>
      </c>
      <c r="D70" s="467">
        <v>70359</v>
      </c>
      <c r="E70" s="491">
        <v>151533</v>
      </c>
      <c r="I70" s="331"/>
      <c r="J70" s="466">
        <v>2025</v>
      </c>
      <c r="K70" s="467">
        <v>15916</v>
      </c>
      <c r="L70" s="467">
        <v>14331</v>
      </c>
      <c r="M70" s="491">
        <v>30247</v>
      </c>
      <c r="S70" s="466">
        <v>2025</v>
      </c>
      <c r="T70" s="333">
        <v>97090</v>
      </c>
      <c r="U70" s="333">
        <v>84690</v>
      </c>
      <c r="V70" s="491">
        <v>181780</v>
      </c>
      <c r="AB70" s="466">
        <v>2025</v>
      </c>
      <c r="AC70" s="479">
        <v>0.83606962612009472</v>
      </c>
      <c r="AD70" s="479">
        <v>0.83078285511866812</v>
      </c>
      <c r="AE70" s="492">
        <v>0.83360655737704914</v>
      </c>
    </row>
    <row r="71" spans="2:31" s="316" customFormat="1" ht="12.75" x14ac:dyDescent="0.2">
      <c r="B71" s="79" t="s">
        <v>5</v>
      </c>
      <c r="C71" s="334">
        <v>2006355</v>
      </c>
      <c r="D71" s="334">
        <v>1491903</v>
      </c>
      <c r="E71" s="91">
        <v>3498258</v>
      </c>
      <c r="I71" s="335"/>
      <c r="J71" s="79" t="s">
        <v>5</v>
      </c>
      <c r="K71" s="334">
        <v>452928</v>
      </c>
      <c r="L71" s="334">
        <v>239319</v>
      </c>
      <c r="M71" s="91">
        <v>692247</v>
      </c>
      <c r="S71" s="79" t="s">
        <v>5</v>
      </c>
      <c r="T71" s="334">
        <v>2459283</v>
      </c>
      <c r="U71" s="334">
        <v>1731222</v>
      </c>
      <c r="V71" s="91">
        <v>4190505</v>
      </c>
      <c r="AB71" s="79" t="s">
        <v>5</v>
      </c>
      <c r="AC71" s="480">
        <v>0.81582924779295429</v>
      </c>
      <c r="AD71" s="480">
        <v>0.86176296280892917</v>
      </c>
      <c r="AE71" s="480">
        <v>0.83480582889174459</v>
      </c>
    </row>
    <row r="72" spans="2:31" x14ac:dyDescent="0.25">
      <c r="B72" s="74" t="s">
        <v>660</v>
      </c>
      <c r="J72" s="74" t="s">
        <v>660</v>
      </c>
      <c r="S72" s="74" t="s">
        <v>660</v>
      </c>
      <c r="AB72" s="74" t="s">
        <v>660</v>
      </c>
    </row>
  </sheetData>
  <mergeCells count="12">
    <mergeCell ref="S27:Y27"/>
    <mergeCell ref="B51:G51"/>
    <mergeCell ref="S51:W51"/>
    <mergeCell ref="AB51:AF51"/>
    <mergeCell ref="AB27:AH27"/>
    <mergeCell ref="B27:H27"/>
    <mergeCell ref="J51:N51"/>
    <mergeCell ref="B2:J2"/>
    <mergeCell ref="B23:J23"/>
    <mergeCell ref="H3:I3"/>
    <mergeCell ref="C3:G3"/>
    <mergeCell ref="J27:P27"/>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63DCE-186A-45E6-9DD7-A6AA74C74635}">
  <sheetPr>
    <tabColor rgb="FFFF0000"/>
  </sheetPr>
  <dimension ref="B2:K10"/>
  <sheetViews>
    <sheetView showGridLines="0" workbookViewId="0"/>
    <sheetView workbookViewId="1"/>
  </sheetViews>
  <sheetFormatPr baseColWidth="10" defaultRowHeight="15" x14ac:dyDescent="0.25"/>
  <cols>
    <col min="1" max="1" width="5.42578125" customWidth="1"/>
    <col min="2" max="2" width="18.7109375" customWidth="1"/>
  </cols>
  <sheetData>
    <row r="2" spans="2:11" x14ac:dyDescent="0.25">
      <c r="B2" s="8" t="s">
        <v>566</v>
      </c>
    </row>
    <row r="3" spans="2:11" ht="21.6" customHeight="1" thickBot="1" x14ac:dyDescent="0.3">
      <c r="B3" s="261" t="s">
        <v>567</v>
      </c>
    </row>
    <row r="4" spans="2:11" ht="15.75" thickBot="1" x14ac:dyDescent="0.3">
      <c r="B4" s="543" t="s">
        <v>580</v>
      </c>
      <c r="C4" s="544"/>
      <c r="D4" s="544"/>
      <c r="E4" s="544"/>
      <c r="F4" s="544"/>
      <c r="G4" s="544"/>
      <c r="H4" s="544"/>
      <c r="I4" s="544"/>
      <c r="J4" s="544"/>
      <c r="K4" s="545"/>
    </row>
    <row r="5" spans="2:11" ht="36.75" thickBot="1" x14ac:dyDescent="0.3">
      <c r="B5" s="546" t="s">
        <v>495</v>
      </c>
      <c r="C5" s="548" t="s">
        <v>496</v>
      </c>
      <c r="D5" s="549"/>
      <c r="E5" s="550" t="s">
        <v>188</v>
      </c>
      <c r="F5" s="549"/>
      <c r="G5" s="248" t="s">
        <v>497</v>
      </c>
      <c r="H5" s="548" t="s">
        <v>498</v>
      </c>
      <c r="I5" s="549"/>
      <c r="J5" s="550" t="s">
        <v>499</v>
      </c>
      <c r="K5" s="549"/>
    </row>
    <row r="6" spans="2:11" ht="15.75" thickBot="1" x14ac:dyDescent="0.3">
      <c r="B6" s="547"/>
      <c r="C6" s="249" t="s">
        <v>500</v>
      </c>
      <c r="D6" s="249" t="s">
        <v>493</v>
      </c>
      <c r="E6" s="249" t="s">
        <v>500</v>
      </c>
      <c r="F6" s="249" t="s">
        <v>493</v>
      </c>
      <c r="G6" s="249" t="s">
        <v>500</v>
      </c>
      <c r="H6" s="249" t="s">
        <v>500</v>
      </c>
      <c r="I6" s="249" t="s">
        <v>493</v>
      </c>
      <c r="J6" s="249" t="s">
        <v>500</v>
      </c>
      <c r="K6" s="249" t="s">
        <v>493</v>
      </c>
    </row>
    <row r="7" spans="2:11" ht="24.75" thickBot="1" x14ac:dyDescent="0.3">
      <c r="B7" s="250" t="s">
        <v>501</v>
      </c>
      <c r="C7" s="251"/>
      <c r="D7" s="252" t="s">
        <v>212</v>
      </c>
      <c r="E7" s="251"/>
      <c r="F7" s="252" t="s">
        <v>211</v>
      </c>
      <c r="G7" s="249">
        <v>1</v>
      </c>
      <c r="H7" s="249">
        <v>2</v>
      </c>
      <c r="I7" s="252" t="s">
        <v>502</v>
      </c>
      <c r="J7" s="251"/>
      <c r="K7" s="251"/>
    </row>
    <row r="8" spans="2:11" ht="24.75" thickBot="1" x14ac:dyDescent="0.3">
      <c r="B8" s="250" t="s">
        <v>503</v>
      </c>
      <c r="C8" s="249">
        <v>3</v>
      </c>
      <c r="D8" s="251"/>
      <c r="E8" s="249">
        <v>4</v>
      </c>
      <c r="F8" s="251"/>
      <c r="G8" s="249">
        <v>5</v>
      </c>
      <c r="H8" s="249">
        <v>6</v>
      </c>
      <c r="I8" s="252">
        <v>7</v>
      </c>
      <c r="J8" s="251"/>
      <c r="K8" s="251"/>
    </row>
    <row r="9" spans="2:11" ht="24.75" thickBot="1" x14ac:dyDescent="0.3">
      <c r="B9" s="250" t="s">
        <v>504</v>
      </c>
      <c r="C9" s="253" t="s">
        <v>505</v>
      </c>
      <c r="D9" s="251"/>
      <c r="E9" s="251"/>
      <c r="F9" s="251"/>
      <c r="G9" s="251"/>
      <c r="H9" s="249">
        <v>8</v>
      </c>
      <c r="I9" s="252" t="s">
        <v>506</v>
      </c>
      <c r="J9" s="249">
        <v>9</v>
      </c>
      <c r="K9" s="252" t="s">
        <v>507</v>
      </c>
    </row>
    <row r="10" spans="2:11" ht="117" customHeight="1" x14ac:dyDescent="0.25">
      <c r="B10" s="541" t="s">
        <v>508</v>
      </c>
      <c r="C10" s="542"/>
      <c r="D10" s="542"/>
      <c r="E10" s="542"/>
      <c r="F10" s="542"/>
      <c r="G10" s="542"/>
      <c r="H10" s="542"/>
      <c r="I10" s="542"/>
      <c r="J10" s="542"/>
      <c r="K10" s="542"/>
    </row>
  </sheetData>
  <mergeCells count="7">
    <mergeCell ref="B10:K10"/>
    <mergeCell ref="B4:K4"/>
    <mergeCell ref="B5:B6"/>
    <mergeCell ref="C5:D5"/>
    <mergeCell ref="E5:F5"/>
    <mergeCell ref="H5:I5"/>
    <mergeCell ref="J5:K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A04F1-B31F-492F-B5FB-3841EFE40529}">
  <sheetPr>
    <tabColor rgb="FFFF0000"/>
  </sheetPr>
  <dimension ref="B2:O13"/>
  <sheetViews>
    <sheetView showGridLines="0" zoomScaleNormal="100" workbookViewId="0"/>
    <sheetView workbookViewId="1"/>
  </sheetViews>
  <sheetFormatPr baseColWidth="10" defaultRowHeight="15" x14ac:dyDescent="0.25"/>
  <cols>
    <col min="1" max="1" width="5.140625" customWidth="1"/>
    <col min="2" max="2" width="12.42578125" customWidth="1"/>
    <col min="3" max="3" width="7.28515625" customWidth="1"/>
    <col min="4" max="4" width="6.85546875" customWidth="1"/>
    <col min="5" max="5" width="7.140625" customWidth="1"/>
    <col min="6" max="6" width="7.7109375" customWidth="1"/>
    <col min="7" max="7" width="10.7109375" customWidth="1"/>
    <col min="8" max="8" width="8.28515625" customWidth="1"/>
    <col min="9" max="9" width="6.7109375" customWidth="1"/>
    <col min="10" max="10" width="6.5703125" customWidth="1"/>
    <col min="11" max="11" width="7.28515625" customWidth="1"/>
    <col min="12" max="12" width="7.7109375" customWidth="1"/>
    <col min="13" max="13" width="8" customWidth="1"/>
    <col min="14" max="14" width="8.28515625" customWidth="1"/>
    <col min="15" max="15" width="7.85546875" customWidth="1"/>
  </cols>
  <sheetData>
    <row r="2" spans="2:15" x14ac:dyDescent="0.25">
      <c r="B2" s="8" t="s">
        <v>570</v>
      </c>
    </row>
    <row r="3" spans="2:15" x14ac:dyDescent="0.25">
      <c r="B3" s="8" t="s">
        <v>571</v>
      </c>
    </row>
    <row r="4" spans="2:15" ht="15.75" thickBot="1" x14ac:dyDescent="0.3">
      <c r="B4" s="8"/>
    </row>
    <row r="5" spans="2:15" ht="15.75" thickBot="1" x14ac:dyDescent="0.3">
      <c r="B5" s="288"/>
      <c r="C5" s="554" t="s">
        <v>523</v>
      </c>
      <c r="D5" s="555"/>
      <c r="E5" s="555"/>
      <c r="F5" s="555"/>
      <c r="G5" s="555"/>
      <c r="H5" s="555"/>
      <c r="I5" s="555"/>
      <c r="J5" s="555"/>
      <c r="K5" s="555"/>
      <c r="L5" s="555"/>
      <c r="M5" s="556"/>
      <c r="N5" s="557" t="s">
        <v>524</v>
      </c>
      <c r="O5" s="558"/>
    </row>
    <row r="6" spans="2:15" ht="15.75" thickBot="1" x14ac:dyDescent="0.3">
      <c r="B6" s="289"/>
      <c r="C6" s="563" t="s">
        <v>526</v>
      </c>
      <c r="D6" s="564"/>
      <c r="E6" s="564"/>
      <c r="F6" s="565"/>
      <c r="G6" s="291" t="s">
        <v>527</v>
      </c>
      <c r="H6" s="563" t="s">
        <v>529</v>
      </c>
      <c r="I6" s="564"/>
      <c r="J6" s="564"/>
      <c r="K6" s="564"/>
      <c r="L6" s="564"/>
      <c r="M6" s="565"/>
      <c r="N6" s="559"/>
      <c r="O6" s="560"/>
    </row>
    <row r="7" spans="2:15" ht="26.25" thickBot="1" x14ac:dyDescent="0.3">
      <c r="B7" s="289" t="s">
        <v>525</v>
      </c>
      <c r="C7" s="563" t="s">
        <v>530</v>
      </c>
      <c r="D7" s="565"/>
      <c r="E7" s="563" t="s">
        <v>531</v>
      </c>
      <c r="F7" s="565"/>
      <c r="G7" s="292" t="s">
        <v>528</v>
      </c>
      <c r="H7" s="563" t="s">
        <v>532</v>
      </c>
      <c r="I7" s="565"/>
      <c r="J7" s="563" t="s">
        <v>533</v>
      </c>
      <c r="K7" s="565"/>
      <c r="L7" s="563" t="s">
        <v>534</v>
      </c>
      <c r="M7" s="565"/>
      <c r="N7" s="561"/>
      <c r="O7" s="562"/>
    </row>
    <row r="8" spans="2:15" ht="15.75" thickBot="1" x14ac:dyDescent="0.3">
      <c r="B8" s="290"/>
      <c r="C8" s="293" t="s">
        <v>493</v>
      </c>
      <c r="D8" s="293" t="s">
        <v>500</v>
      </c>
      <c r="E8" s="293" t="s">
        <v>493</v>
      </c>
      <c r="F8" s="293" t="s">
        <v>500</v>
      </c>
      <c r="G8" s="293" t="s">
        <v>500</v>
      </c>
      <c r="H8" s="293" t="s">
        <v>493</v>
      </c>
      <c r="I8" s="293" t="s">
        <v>500</v>
      </c>
      <c r="J8" s="293" t="s">
        <v>493</v>
      </c>
      <c r="K8" s="293" t="s">
        <v>500</v>
      </c>
      <c r="L8" s="293" t="s">
        <v>493</v>
      </c>
      <c r="M8" s="293" t="s">
        <v>500</v>
      </c>
      <c r="N8" s="293" t="s">
        <v>493</v>
      </c>
      <c r="O8" s="293" t="s">
        <v>500</v>
      </c>
    </row>
    <row r="9" spans="2:15" ht="15.75" thickBot="1" x14ac:dyDescent="0.3">
      <c r="B9" s="294" t="s">
        <v>535</v>
      </c>
      <c r="C9" s="295">
        <v>6</v>
      </c>
      <c r="D9" s="296"/>
      <c r="E9" s="295">
        <v>2.5</v>
      </c>
      <c r="F9" s="296"/>
      <c r="G9" s="297">
        <v>0.3</v>
      </c>
      <c r="H9" s="295">
        <v>50.7</v>
      </c>
      <c r="I9" s="297">
        <v>7.7</v>
      </c>
      <c r="J9" s="295">
        <v>11.5</v>
      </c>
      <c r="K9" s="297">
        <v>1.4</v>
      </c>
      <c r="L9" s="296"/>
      <c r="M9" s="296"/>
      <c r="N9" s="295">
        <v>70.599999999999994</v>
      </c>
      <c r="O9" s="297">
        <v>9.5</v>
      </c>
    </row>
    <row r="10" spans="2:15" ht="15.75" thickBot="1" x14ac:dyDescent="0.3">
      <c r="B10" s="298" t="s">
        <v>536</v>
      </c>
      <c r="C10" s="299"/>
      <c r="D10" s="297">
        <v>14.1</v>
      </c>
      <c r="E10" s="299"/>
      <c r="F10" s="297">
        <v>0.6</v>
      </c>
      <c r="G10" s="297">
        <v>0.3</v>
      </c>
      <c r="H10" s="295">
        <v>0.1</v>
      </c>
      <c r="I10" s="297">
        <v>1.7</v>
      </c>
      <c r="J10" s="299"/>
      <c r="K10" s="299"/>
      <c r="L10" s="299"/>
      <c r="M10" s="299"/>
      <c r="N10" s="295">
        <v>0.1</v>
      </c>
      <c r="O10" s="297">
        <v>16.8</v>
      </c>
    </row>
    <row r="11" spans="2:15" ht="15.75" thickBot="1" x14ac:dyDescent="0.3">
      <c r="B11" s="294" t="s">
        <v>537</v>
      </c>
      <c r="C11" s="296"/>
      <c r="D11" s="296"/>
      <c r="E11" s="296"/>
      <c r="F11" s="296"/>
      <c r="G11" s="296"/>
      <c r="H11" s="295">
        <v>0.2</v>
      </c>
      <c r="I11" s="297">
        <v>0.4</v>
      </c>
      <c r="J11" s="296"/>
      <c r="K11" s="296"/>
      <c r="L11" s="295">
        <v>1</v>
      </c>
      <c r="M11" s="297">
        <v>1.4</v>
      </c>
      <c r="N11" s="295">
        <v>1.2</v>
      </c>
      <c r="O11" s="297">
        <v>1.8</v>
      </c>
    </row>
    <row r="12" spans="2:15" ht="15.75" thickBot="1" x14ac:dyDescent="0.3">
      <c r="B12" s="300" t="s">
        <v>538</v>
      </c>
      <c r="C12" s="301">
        <v>6</v>
      </c>
      <c r="D12" s="301">
        <v>14.1</v>
      </c>
      <c r="E12" s="301">
        <v>2.5</v>
      </c>
      <c r="F12" s="301">
        <v>0.6</v>
      </c>
      <c r="G12" s="301">
        <v>0.7</v>
      </c>
      <c r="H12" s="301">
        <v>51</v>
      </c>
      <c r="I12" s="301">
        <v>9.9</v>
      </c>
      <c r="J12" s="301">
        <v>11.5</v>
      </c>
      <c r="K12" s="301">
        <v>1.4</v>
      </c>
      <c r="L12" s="301">
        <v>1</v>
      </c>
      <c r="M12" s="301">
        <v>1.4</v>
      </c>
      <c r="N12" s="301">
        <v>71.900000000000006</v>
      </c>
      <c r="O12" s="301">
        <v>28.1</v>
      </c>
    </row>
    <row r="13" spans="2:15" ht="33" customHeight="1" x14ac:dyDescent="0.25">
      <c r="B13" s="551" t="s">
        <v>539</v>
      </c>
      <c r="C13" s="552"/>
      <c r="D13" s="552"/>
      <c r="E13" s="552"/>
      <c r="F13" s="552"/>
      <c r="G13" s="552"/>
      <c r="H13" s="552"/>
      <c r="I13" s="552"/>
      <c r="J13" s="552"/>
      <c r="K13" s="552"/>
      <c r="L13" s="553"/>
      <c r="M13" s="553"/>
      <c r="N13" s="553"/>
      <c r="O13" s="553"/>
    </row>
  </sheetData>
  <mergeCells count="10">
    <mergeCell ref="B13:O13"/>
    <mergeCell ref="C5:M5"/>
    <mergeCell ref="N5:O7"/>
    <mergeCell ref="C6:F6"/>
    <mergeCell ref="H6:M6"/>
    <mergeCell ref="C7:D7"/>
    <mergeCell ref="E7:F7"/>
    <mergeCell ref="H7:I7"/>
    <mergeCell ref="J7:K7"/>
    <mergeCell ref="L7:M7"/>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FC202-7F83-43CB-96C2-49F45140DAEF}">
  <sheetPr>
    <tabColor rgb="FFFF0000"/>
  </sheetPr>
  <dimension ref="B2:G11"/>
  <sheetViews>
    <sheetView showGridLines="0" zoomScaleNormal="100" workbookViewId="0"/>
    <sheetView workbookViewId="1"/>
  </sheetViews>
  <sheetFormatPr baseColWidth="10" defaultRowHeight="15" x14ac:dyDescent="0.25"/>
  <cols>
    <col min="1" max="1" width="4.42578125" customWidth="1"/>
    <col min="2" max="2" width="12.42578125" customWidth="1"/>
    <col min="3" max="3" width="7.28515625" customWidth="1"/>
    <col min="4" max="4" width="6.85546875" customWidth="1"/>
    <col min="5" max="5" width="7.140625" customWidth="1"/>
    <col min="6" max="6" width="7.7109375" customWidth="1"/>
    <col min="7" max="7" width="10.7109375" customWidth="1"/>
    <col min="8" max="8" width="8.28515625" customWidth="1"/>
    <col min="9" max="9" width="6.7109375" customWidth="1"/>
    <col min="10" max="10" width="6.5703125" customWidth="1"/>
    <col min="11" max="11" width="7.28515625" customWidth="1"/>
    <col min="12" max="12" width="7.7109375" customWidth="1"/>
    <col min="13" max="13" width="8" customWidth="1"/>
    <col min="14" max="14" width="8.28515625" customWidth="1"/>
    <col min="15" max="15" width="7.85546875" customWidth="1"/>
  </cols>
  <sheetData>
    <row r="2" spans="2:7" x14ac:dyDescent="0.25">
      <c r="B2" s="8" t="s">
        <v>553</v>
      </c>
    </row>
    <row r="3" spans="2:7" ht="15.75" thickBot="1" x14ac:dyDescent="0.3">
      <c r="B3" s="8"/>
    </row>
    <row r="4" spans="2:7" ht="15.75" thickBot="1" x14ac:dyDescent="0.3">
      <c r="B4" s="566" t="s">
        <v>549</v>
      </c>
      <c r="C4" s="568" t="s">
        <v>550</v>
      </c>
      <c r="D4" s="570" t="s">
        <v>31</v>
      </c>
      <c r="E4" s="571"/>
      <c r="F4" s="572" t="s">
        <v>551</v>
      </c>
      <c r="G4" s="571"/>
    </row>
    <row r="5" spans="2:7" ht="15.75" thickBot="1" x14ac:dyDescent="0.3">
      <c r="B5" s="567"/>
      <c r="C5" s="569"/>
      <c r="D5" s="302" t="s">
        <v>5</v>
      </c>
      <c r="E5" s="302" t="s">
        <v>552</v>
      </c>
      <c r="F5" s="302" t="s">
        <v>29</v>
      </c>
      <c r="G5" s="302" t="s">
        <v>30</v>
      </c>
    </row>
    <row r="6" spans="2:7" ht="15.75" thickBot="1" x14ac:dyDescent="0.3">
      <c r="B6" s="303">
        <v>2019</v>
      </c>
      <c r="C6" s="304">
        <v>528779</v>
      </c>
      <c r="D6" s="305">
        <v>0.14000000000000001</v>
      </c>
      <c r="E6" s="305">
        <v>0.86</v>
      </c>
      <c r="F6" s="305">
        <v>0.48</v>
      </c>
      <c r="G6" s="305">
        <v>0.52</v>
      </c>
    </row>
    <row r="7" spans="2:7" ht="15.75" thickBot="1" x14ac:dyDescent="0.3">
      <c r="B7" s="303">
        <v>2020</v>
      </c>
      <c r="C7" s="304">
        <v>553572</v>
      </c>
      <c r="D7" s="305">
        <v>0.15</v>
      </c>
      <c r="E7" s="305">
        <v>0.85</v>
      </c>
      <c r="F7" s="305">
        <v>0.48</v>
      </c>
      <c r="G7" s="305">
        <v>0.52</v>
      </c>
    </row>
    <row r="8" spans="2:7" ht="15.75" thickBot="1" x14ac:dyDescent="0.3">
      <c r="B8" s="303">
        <v>2021</v>
      </c>
      <c r="C8" s="304">
        <v>519477</v>
      </c>
      <c r="D8" s="305">
        <v>0.2</v>
      </c>
      <c r="E8" s="305">
        <v>0.8</v>
      </c>
      <c r="F8" s="305">
        <v>0.49</v>
      </c>
      <c r="G8" s="305">
        <v>0.51</v>
      </c>
    </row>
    <row r="9" spans="2:7" ht="15.75" thickBot="1" x14ac:dyDescent="0.3">
      <c r="B9" s="303">
        <v>2022</v>
      </c>
      <c r="C9" s="304">
        <v>625419</v>
      </c>
      <c r="D9" s="305">
        <v>0.22</v>
      </c>
      <c r="E9" s="305">
        <v>0.78</v>
      </c>
      <c r="F9" s="305">
        <v>0.5</v>
      </c>
      <c r="G9" s="305">
        <v>0.5</v>
      </c>
    </row>
    <row r="10" spans="2:7" ht="15.75" thickBot="1" x14ac:dyDescent="0.3">
      <c r="B10" s="303">
        <v>2023</v>
      </c>
      <c r="C10" s="304">
        <v>613367</v>
      </c>
      <c r="D10" s="305">
        <v>0.23</v>
      </c>
      <c r="E10" s="305">
        <v>0.77</v>
      </c>
      <c r="F10" s="305">
        <v>0.5</v>
      </c>
      <c r="G10" s="305">
        <v>0.5</v>
      </c>
    </row>
    <row r="11" spans="2:7" ht="90" customHeight="1" x14ac:dyDescent="0.25">
      <c r="B11" s="573" t="s">
        <v>554</v>
      </c>
      <c r="C11" s="573"/>
      <c r="D11" s="573"/>
      <c r="E11" s="573"/>
      <c r="F11" s="573"/>
      <c r="G11" s="573"/>
    </row>
  </sheetData>
  <mergeCells count="5">
    <mergeCell ref="B4:B5"/>
    <mergeCell ref="C4:C5"/>
    <mergeCell ref="D4:E4"/>
    <mergeCell ref="F4:G4"/>
    <mergeCell ref="B11:G11"/>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E7B2B-60CC-44C4-890B-9EC4A543DD7C}">
  <sheetPr>
    <tabColor rgb="FFFF0000"/>
  </sheetPr>
  <dimension ref="B2:F12"/>
  <sheetViews>
    <sheetView showGridLines="0" zoomScale="90" zoomScaleNormal="90" workbookViewId="0"/>
    <sheetView workbookViewId="1"/>
  </sheetViews>
  <sheetFormatPr baseColWidth="10" defaultRowHeight="15" x14ac:dyDescent="0.25"/>
  <cols>
    <col min="1" max="1" width="5.7109375" customWidth="1"/>
    <col min="2" max="2" width="12.42578125" customWidth="1"/>
    <col min="3" max="3" width="12.28515625" customWidth="1"/>
    <col min="4" max="4" width="9.5703125" customWidth="1"/>
    <col min="5" max="5" width="18" customWidth="1"/>
    <col min="6" max="6" width="16.7109375" customWidth="1"/>
    <col min="7" max="7" width="10.7109375" customWidth="1"/>
    <col min="8" max="8" width="8.28515625" customWidth="1"/>
    <col min="9" max="9" width="6.7109375" customWidth="1"/>
    <col min="10" max="10" width="6.5703125" customWidth="1"/>
    <col min="11" max="11" width="7.28515625" customWidth="1"/>
    <col min="12" max="12" width="7.7109375" customWidth="1"/>
    <col min="13" max="13" width="8" customWidth="1"/>
    <col min="14" max="14" width="8.28515625" customWidth="1"/>
    <col min="15" max="15" width="7.85546875" customWidth="1"/>
  </cols>
  <sheetData>
    <row r="2" spans="2:6" x14ac:dyDescent="0.25">
      <c r="B2" s="8" t="s">
        <v>555</v>
      </c>
    </row>
    <row r="3" spans="2:6" ht="15.75" thickBot="1" x14ac:dyDescent="0.3">
      <c r="B3" s="8"/>
    </row>
    <row r="4" spans="2:6" ht="15.75" thickBot="1" x14ac:dyDescent="0.3">
      <c r="B4" s="576" t="s">
        <v>549</v>
      </c>
      <c r="C4" s="578" t="s">
        <v>556</v>
      </c>
      <c r="D4" s="579"/>
      <c r="E4" s="580"/>
      <c r="F4" s="576" t="s">
        <v>557</v>
      </c>
    </row>
    <row r="5" spans="2:6" ht="72.75" thickBot="1" x14ac:dyDescent="0.3">
      <c r="B5" s="577"/>
      <c r="C5" s="317" t="s">
        <v>558</v>
      </c>
      <c r="D5" s="317" t="s">
        <v>559</v>
      </c>
      <c r="E5" s="317" t="s">
        <v>560</v>
      </c>
      <c r="F5" s="577"/>
    </row>
    <row r="6" spans="2:6" ht="15.75" thickBot="1" x14ac:dyDescent="0.3">
      <c r="B6" s="318">
        <v>2019</v>
      </c>
      <c r="C6" s="319">
        <v>0.42</v>
      </c>
      <c r="D6" s="319">
        <v>0.52</v>
      </c>
      <c r="E6" s="319">
        <v>0.06</v>
      </c>
      <c r="F6" s="306">
        <v>152069</v>
      </c>
    </row>
    <row r="7" spans="2:6" ht="15.75" thickBot="1" x14ac:dyDescent="0.3">
      <c r="B7" s="318">
        <v>2020</v>
      </c>
      <c r="C7" s="319">
        <v>0.43</v>
      </c>
      <c r="D7" s="319">
        <v>0.52</v>
      </c>
      <c r="E7" s="319">
        <v>0.05</v>
      </c>
      <c r="F7" s="306">
        <v>253555</v>
      </c>
    </row>
    <row r="8" spans="2:6" ht="15.75" thickBot="1" x14ac:dyDescent="0.3">
      <c r="B8" s="318">
        <v>2021</v>
      </c>
      <c r="C8" s="319">
        <v>0.45</v>
      </c>
      <c r="D8" s="319">
        <v>0.51</v>
      </c>
      <c r="E8" s="319">
        <v>0.04</v>
      </c>
      <c r="F8" s="306">
        <v>349743</v>
      </c>
    </row>
    <row r="9" spans="2:6" ht="15.75" thickBot="1" x14ac:dyDescent="0.3">
      <c r="B9" s="318">
        <v>2022</v>
      </c>
      <c r="C9" s="319">
        <v>0.42</v>
      </c>
      <c r="D9" s="319">
        <v>0.55000000000000004</v>
      </c>
      <c r="E9" s="319">
        <v>0.03</v>
      </c>
      <c r="F9" s="306">
        <v>438813</v>
      </c>
    </row>
    <row r="10" spans="2:6" ht="15.75" thickBot="1" x14ac:dyDescent="0.3">
      <c r="B10" s="318">
        <v>2023</v>
      </c>
      <c r="C10" s="319">
        <v>0.43</v>
      </c>
      <c r="D10" s="319">
        <v>0.55000000000000004</v>
      </c>
      <c r="E10" s="319">
        <v>0.02</v>
      </c>
      <c r="F10" s="306">
        <v>491574</v>
      </c>
    </row>
    <row r="11" spans="2:6" x14ac:dyDescent="0.25">
      <c r="B11" s="357"/>
      <c r="C11" s="358"/>
      <c r="D11" s="358"/>
      <c r="E11" s="358"/>
      <c r="F11" s="308"/>
    </row>
    <row r="12" spans="2:6" ht="205.9" customHeight="1" x14ac:dyDescent="0.25">
      <c r="B12" s="574" t="s">
        <v>561</v>
      </c>
      <c r="C12" s="575"/>
      <c r="D12" s="575"/>
      <c r="E12" s="575"/>
      <c r="F12" s="575"/>
    </row>
  </sheetData>
  <mergeCells count="4">
    <mergeCell ref="B12:F12"/>
    <mergeCell ref="B4:B5"/>
    <mergeCell ref="C4:E4"/>
    <mergeCell ref="F4: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9D9AE-2DA9-4446-A107-79F9DB50D87F}">
  <sheetPr>
    <tabColor rgb="FF009999"/>
  </sheetPr>
  <dimension ref="B1:H43"/>
  <sheetViews>
    <sheetView showGridLines="0" workbookViewId="0"/>
    <sheetView workbookViewId="1"/>
  </sheetViews>
  <sheetFormatPr baseColWidth="10" defaultRowHeight="15" x14ac:dyDescent="0.25"/>
  <cols>
    <col min="1" max="1" width="5.42578125" customWidth="1"/>
    <col min="2" max="2" width="17.7109375" customWidth="1"/>
    <col min="3" max="3" width="15.140625" customWidth="1"/>
    <col min="4" max="4" width="23.7109375" customWidth="1"/>
    <col min="6" max="6" width="16.140625" customWidth="1"/>
  </cols>
  <sheetData>
    <row r="1" spans="2:6" ht="26.45" customHeight="1" x14ac:dyDescent="0.25">
      <c r="B1" s="8" t="s">
        <v>638</v>
      </c>
    </row>
    <row r="2" spans="2:6" ht="28.15" customHeight="1" x14ac:dyDescent="0.25">
      <c r="B2" s="581" t="s">
        <v>671</v>
      </c>
      <c r="C2" s="581"/>
      <c r="D2" s="581"/>
      <c r="E2" s="581"/>
      <c r="F2" s="581"/>
    </row>
    <row r="3" spans="2:6" ht="36" x14ac:dyDescent="0.25">
      <c r="B3" s="362" t="s">
        <v>37</v>
      </c>
      <c r="C3" s="362" t="s">
        <v>34</v>
      </c>
      <c r="D3" s="362" t="s">
        <v>45</v>
      </c>
      <c r="E3" s="362" t="s">
        <v>10</v>
      </c>
      <c r="F3" s="362" t="s">
        <v>101</v>
      </c>
    </row>
    <row r="4" spans="2:6" x14ac:dyDescent="0.25">
      <c r="B4" s="359" t="s">
        <v>27</v>
      </c>
      <c r="C4" s="360" t="s">
        <v>102</v>
      </c>
      <c r="D4" s="360" t="s">
        <v>46</v>
      </c>
      <c r="E4" s="361">
        <v>70000</v>
      </c>
      <c r="F4" s="361">
        <v>60000</v>
      </c>
    </row>
    <row r="5" spans="2:6" x14ac:dyDescent="0.25">
      <c r="B5" s="36" t="s">
        <v>28</v>
      </c>
      <c r="C5" s="34" t="s">
        <v>102</v>
      </c>
      <c r="D5" s="34" t="s">
        <v>47</v>
      </c>
      <c r="E5" s="38">
        <v>120000</v>
      </c>
      <c r="F5" s="38">
        <v>75000</v>
      </c>
    </row>
    <row r="6" spans="2:6" x14ac:dyDescent="0.25">
      <c r="B6" s="36" t="s">
        <v>16</v>
      </c>
      <c r="C6" s="34" t="s">
        <v>102</v>
      </c>
      <c r="D6" s="34" t="s">
        <v>48</v>
      </c>
      <c r="E6" s="38">
        <v>150000</v>
      </c>
      <c r="F6" s="38">
        <v>75000</v>
      </c>
    </row>
    <row r="7" spans="2:6" x14ac:dyDescent="0.25">
      <c r="B7" s="36" t="s">
        <v>17</v>
      </c>
      <c r="C7" s="34" t="s">
        <v>102</v>
      </c>
      <c r="D7" s="34" t="s">
        <v>49</v>
      </c>
      <c r="E7" s="38">
        <v>200000</v>
      </c>
      <c r="F7" s="38">
        <v>75840</v>
      </c>
    </row>
    <row r="8" spans="2:6" x14ac:dyDescent="0.25">
      <c r="B8" s="36" t="s">
        <v>18</v>
      </c>
      <c r="C8" s="34" t="s">
        <v>102</v>
      </c>
      <c r="D8" s="34" t="s">
        <v>50</v>
      </c>
      <c r="E8" s="38">
        <v>255000</v>
      </c>
      <c r="F8" s="38">
        <v>78449</v>
      </c>
    </row>
    <row r="9" spans="2:6" x14ac:dyDescent="0.25">
      <c r="B9" s="36" t="s">
        <v>19</v>
      </c>
      <c r="C9" s="34" t="s">
        <v>102</v>
      </c>
      <c r="D9" s="34" t="s">
        <v>50</v>
      </c>
      <c r="E9" s="38">
        <v>261758</v>
      </c>
      <c r="F9" s="38">
        <v>80528</v>
      </c>
    </row>
    <row r="10" spans="2:6" x14ac:dyDescent="0.25">
      <c r="B10" s="36" t="s">
        <v>20</v>
      </c>
      <c r="C10" s="34" t="s">
        <v>102</v>
      </c>
      <c r="D10" s="34" t="s">
        <v>50</v>
      </c>
      <c r="E10" s="38">
        <v>266731</v>
      </c>
      <c r="F10" s="38">
        <v>82058</v>
      </c>
    </row>
    <row r="11" spans="2:6" x14ac:dyDescent="0.25">
      <c r="B11" s="36" t="s">
        <v>21</v>
      </c>
      <c r="C11" s="34" t="s">
        <v>102</v>
      </c>
      <c r="D11" s="34" t="s">
        <v>50</v>
      </c>
      <c r="E11" s="38">
        <v>279427</v>
      </c>
      <c r="F11" s="38">
        <v>85964</v>
      </c>
    </row>
    <row r="12" spans="2:6" x14ac:dyDescent="0.25">
      <c r="B12" s="36" t="s">
        <v>22</v>
      </c>
      <c r="C12" s="34" t="s">
        <v>102</v>
      </c>
      <c r="D12" s="34" t="s">
        <v>50</v>
      </c>
      <c r="E12" s="38">
        <v>291778</v>
      </c>
      <c r="F12" s="38">
        <v>89764</v>
      </c>
    </row>
    <row r="13" spans="2:6" x14ac:dyDescent="0.25">
      <c r="B13" s="36" t="s">
        <v>23</v>
      </c>
      <c r="C13" s="34" t="s">
        <v>102</v>
      </c>
      <c r="D13" s="34" t="s">
        <v>50</v>
      </c>
      <c r="E13" s="38">
        <v>304062</v>
      </c>
      <c r="F13" s="38">
        <v>93543</v>
      </c>
    </row>
    <row r="14" spans="2:6" x14ac:dyDescent="0.25">
      <c r="B14" s="36" t="s">
        <v>24</v>
      </c>
      <c r="C14" s="34" t="s">
        <v>102</v>
      </c>
      <c r="D14" s="34" t="s">
        <v>50</v>
      </c>
      <c r="E14" s="38">
        <v>304062</v>
      </c>
      <c r="F14" s="38">
        <v>102897</v>
      </c>
    </row>
    <row r="15" spans="2:6" x14ac:dyDescent="0.25">
      <c r="B15" s="36" t="s">
        <v>25</v>
      </c>
      <c r="C15" s="34" t="s">
        <v>102</v>
      </c>
      <c r="D15" s="34" t="s">
        <v>50</v>
      </c>
      <c r="E15" s="38">
        <v>309231</v>
      </c>
      <c r="F15" s="38">
        <v>104646</v>
      </c>
    </row>
    <row r="16" spans="2:6" x14ac:dyDescent="0.25">
      <c r="B16" s="36" t="s">
        <v>26</v>
      </c>
      <c r="C16" s="34" t="s">
        <v>102</v>
      </c>
      <c r="D16" s="34" t="s">
        <v>50</v>
      </c>
      <c r="E16" s="38">
        <v>317085</v>
      </c>
      <c r="F16" s="38">
        <v>107304</v>
      </c>
    </row>
    <row r="17" spans="2:6" x14ac:dyDescent="0.25">
      <c r="B17" s="36" t="s">
        <v>33</v>
      </c>
      <c r="C17" s="34" t="s">
        <v>102</v>
      </c>
      <c r="D17" s="34" t="s">
        <v>50</v>
      </c>
      <c r="E17" s="38">
        <v>325646</v>
      </c>
      <c r="F17" s="38">
        <v>110201</v>
      </c>
    </row>
    <row r="18" spans="2:6" x14ac:dyDescent="0.25">
      <c r="B18" s="508" t="s">
        <v>32</v>
      </c>
      <c r="C18" s="34" t="s">
        <v>103</v>
      </c>
      <c r="D18" s="34" t="s">
        <v>50</v>
      </c>
      <c r="E18" s="38">
        <v>407058</v>
      </c>
      <c r="F18" s="38">
        <v>137751</v>
      </c>
    </row>
    <row r="19" spans="2:6" x14ac:dyDescent="0.25">
      <c r="B19" s="508"/>
      <c r="C19" s="34" t="s">
        <v>104</v>
      </c>
      <c r="D19" s="34" t="s">
        <v>50</v>
      </c>
      <c r="E19" s="38">
        <v>423340</v>
      </c>
      <c r="F19" s="38">
        <v>143261</v>
      </c>
    </row>
    <row r="20" spans="2:6" x14ac:dyDescent="0.25">
      <c r="B20" s="508"/>
      <c r="C20" s="34" t="s">
        <v>105</v>
      </c>
      <c r="D20" s="34" t="s">
        <v>50</v>
      </c>
      <c r="E20" s="38">
        <v>488469</v>
      </c>
      <c r="F20" s="38">
        <v>165302</v>
      </c>
    </row>
    <row r="21" spans="2:6" x14ac:dyDescent="0.25">
      <c r="B21" s="508" t="s">
        <v>38</v>
      </c>
      <c r="C21" s="34" t="s">
        <v>103</v>
      </c>
      <c r="D21" s="34" t="s">
        <v>50</v>
      </c>
      <c r="E21" s="38">
        <v>417764</v>
      </c>
      <c r="F21" s="38">
        <v>141374</v>
      </c>
    </row>
    <row r="22" spans="2:6" x14ac:dyDescent="0.25">
      <c r="B22" s="508"/>
      <c r="C22" s="34" t="s">
        <v>104</v>
      </c>
      <c r="D22" s="34" t="s">
        <v>50</v>
      </c>
      <c r="E22" s="38">
        <v>434474</v>
      </c>
      <c r="F22" s="38">
        <v>147029</v>
      </c>
    </row>
    <row r="23" spans="2:6" x14ac:dyDescent="0.25">
      <c r="B23" s="508"/>
      <c r="C23" s="34" t="s">
        <v>105</v>
      </c>
      <c r="D23" s="34" t="s">
        <v>50</v>
      </c>
      <c r="E23" s="38">
        <v>501316</v>
      </c>
      <c r="F23" s="38">
        <v>169649</v>
      </c>
    </row>
    <row r="24" spans="2:6" x14ac:dyDescent="0.25">
      <c r="B24" s="508" t="s">
        <v>39</v>
      </c>
      <c r="C24" s="34" t="s">
        <v>106</v>
      </c>
      <c r="D24" s="34" t="s">
        <v>50</v>
      </c>
      <c r="E24" s="38">
        <v>467894</v>
      </c>
      <c r="F24" s="38">
        <v>158339</v>
      </c>
    </row>
    <row r="25" spans="2:6" x14ac:dyDescent="0.25">
      <c r="B25" s="508"/>
      <c r="C25" s="34" t="s">
        <v>107</v>
      </c>
      <c r="D25" s="34" t="s">
        <v>50</v>
      </c>
      <c r="E25" s="38">
        <v>501316</v>
      </c>
      <c r="F25" s="38">
        <v>169649</v>
      </c>
    </row>
    <row r="26" spans="2:6" x14ac:dyDescent="0.25">
      <c r="B26" s="508" t="s">
        <v>43</v>
      </c>
      <c r="C26" s="34" t="s">
        <v>106</v>
      </c>
      <c r="D26" s="34" t="s">
        <v>50</v>
      </c>
      <c r="E26" s="38">
        <v>485674</v>
      </c>
      <c r="F26" s="38">
        <v>164356</v>
      </c>
    </row>
    <row r="27" spans="2:6" x14ac:dyDescent="0.25">
      <c r="B27" s="508"/>
      <c r="C27" s="34" t="s">
        <v>107</v>
      </c>
      <c r="D27" s="34" t="s">
        <v>50</v>
      </c>
      <c r="E27" s="38">
        <v>520366</v>
      </c>
      <c r="F27" s="38">
        <v>176096</v>
      </c>
    </row>
    <row r="28" spans="2:6" x14ac:dyDescent="0.25">
      <c r="B28" s="36" t="s">
        <v>55</v>
      </c>
      <c r="C28" s="34" t="s">
        <v>102</v>
      </c>
      <c r="D28" s="34" t="s">
        <v>50</v>
      </c>
      <c r="E28" s="38">
        <v>520366</v>
      </c>
      <c r="F28" s="38">
        <v>176096</v>
      </c>
    </row>
    <row r="29" spans="2:6" x14ac:dyDescent="0.25">
      <c r="B29" s="583" t="s">
        <v>108</v>
      </c>
      <c r="C29" s="583"/>
      <c r="D29" s="583"/>
      <c r="E29" s="583"/>
      <c r="F29" s="583"/>
    </row>
    <row r="30" spans="2:6" x14ac:dyDescent="0.25">
      <c r="B30" s="34" t="s">
        <v>109</v>
      </c>
      <c r="C30" s="34" t="s">
        <v>102</v>
      </c>
      <c r="D30" s="34" t="s">
        <v>50</v>
      </c>
      <c r="E30" s="39" t="s">
        <v>57</v>
      </c>
      <c r="F30" s="38">
        <v>185000</v>
      </c>
    </row>
    <row r="31" spans="2:6" x14ac:dyDescent="0.25">
      <c r="B31" s="34" t="s">
        <v>110</v>
      </c>
      <c r="C31" s="34" t="s">
        <v>102</v>
      </c>
      <c r="D31" s="34" t="s">
        <v>50</v>
      </c>
      <c r="E31" s="39" t="s">
        <v>57</v>
      </c>
      <c r="F31" s="38">
        <v>193917</v>
      </c>
    </row>
    <row r="32" spans="2:6" ht="31.5" customHeight="1" x14ac:dyDescent="0.25">
      <c r="B32" s="34" t="s">
        <v>54</v>
      </c>
      <c r="C32" s="34" t="s">
        <v>102</v>
      </c>
      <c r="D32" s="34" t="s">
        <v>51</v>
      </c>
      <c r="E32" s="39" t="s">
        <v>57</v>
      </c>
      <c r="F32" s="38">
        <v>193917</v>
      </c>
    </row>
    <row r="33" spans="2:8" ht="22.9" customHeight="1" x14ac:dyDescent="0.25">
      <c r="B33" s="34" t="s">
        <v>52</v>
      </c>
      <c r="C33" s="34" t="s">
        <v>102</v>
      </c>
      <c r="D33" s="34" t="s">
        <v>51</v>
      </c>
      <c r="E33" s="39" t="s">
        <v>57</v>
      </c>
      <c r="F33" s="38">
        <v>206173</v>
      </c>
    </row>
    <row r="34" spans="2:8" ht="14.45" customHeight="1" x14ac:dyDescent="0.25">
      <c r="B34" s="34" t="s">
        <v>111</v>
      </c>
      <c r="C34" s="34" t="s">
        <v>102</v>
      </c>
      <c r="D34" s="34" t="s">
        <v>53</v>
      </c>
      <c r="E34" s="39" t="s">
        <v>57</v>
      </c>
      <c r="F34" s="38">
        <v>206173</v>
      </c>
    </row>
    <row r="35" spans="2:8" ht="14.45" customHeight="1" x14ac:dyDescent="0.25">
      <c r="B35" s="34" t="s">
        <v>150</v>
      </c>
      <c r="C35" s="34" t="s">
        <v>102</v>
      </c>
      <c r="D35" s="34" t="s">
        <v>53</v>
      </c>
      <c r="E35" s="39" t="s">
        <v>57</v>
      </c>
      <c r="F35" s="38">
        <v>214296</v>
      </c>
    </row>
    <row r="36" spans="2:8" ht="14.45" customHeight="1" x14ac:dyDescent="0.25">
      <c r="B36" s="471" t="s">
        <v>657</v>
      </c>
      <c r="C36" s="34" t="s">
        <v>102</v>
      </c>
      <c r="D36" s="34" t="s">
        <v>53</v>
      </c>
      <c r="E36" s="39" t="s">
        <v>57</v>
      </c>
      <c r="F36" s="38">
        <v>224004</v>
      </c>
      <c r="H36" s="377"/>
    </row>
    <row r="37" spans="2:8" ht="14.45" customHeight="1" x14ac:dyDescent="0.25">
      <c r="B37" s="584" t="s">
        <v>658</v>
      </c>
      <c r="C37" s="34" t="s">
        <v>656</v>
      </c>
      <c r="D37" s="34" t="s">
        <v>53</v>
      </c>
      <c r="E37" s="39" t="s">
        <v>57</v>
      </c>
      <c r="F37" s="38">
        <v>224004</v>
      </c>
    </row>
    <row r="38" spans="2:8" ht="14.45" customHeight="1" x14ac:dyDescent="0.25">
      <c r="B38" s="585"/>
      <c r="C38" s="34" t="s">
        <v>655</v>
      </c>
      <c r="D38" s="34" t="s">
        <v>53</v>
      </c>
      <c r="E38" s="39" t="s">
        <v>57</v>
      </c>
      <c r="F38" s="38">
        <v>250000</v>
      </c>
    </row>
    <row r="39" spans="2:8" ht="14.45" customHeight="1" x14ac:dyDescent="0.25">
      <c r="B39" s="586" t="s">
        <v>673</v>
      </c>
      <c r="C39" s="34" t="s">
        <v>656</v>
      </c>
      <c r="D39" s="34" t="s">
        <v>53</v>
      </c>
      <c r="E39" s="39" t="s">
        <v>57</v>
      </c>
      <c r="F39" s="38">
        <v>231732</v>
      </c>
    </row>
    <row r="40" spans="2:8" ht="14.45" customHeight="1" x14ac:dyDescent="0.25">
      <c r="B40" s="586"/>
      <c r="C40" s="34" t="s">
        <v>655</v>
      </c>
      <c r="D40" s="34" t="s">
        <v>53</v>
      </c>
      <c r="E40" s="39" t="s">
        <v>57</v>
      </c>
      <c r="F40" s="38">
        <v>250275</v>
      </c>
    </row>
    <row r="41" spans="2:8" ht="14.45" customHeight="1" x14ac:dyDescent="0.25">
      <c r="B41" s="586" t="s">
        <v>674</v>
      </c>
      <c r="C41" s="34" t="s">
        <v>106</v>
      </c>
      <c r="D41" s="34" t="s">
        <v>53</v>
      </c>
      <c r="E41" s="39" t="s">
        <v>57</v>
      </c>
      <c r="F41" s="38">
        <v>231732</v>
      </c>
    </row>
    <row r="42" spans="2:8" ht="14.45" customHeight="1" x14ac:dyDescent="0.25">
      <c r="B42" s="586"/>
      <c r="C42" s="34" t="s">
        <v>107</v>
      </c>
      <c r="D42" s="34" t="s">
        <v>53</v>
      </c>
      <c r="E42" s="39" t="s">
        <v>57</v>
      </c>
      <c r="F42" s="38">
        <v>250275</v>
      </c>
    </row>
    <row r="43" spans="2:8" ht="78" customHeight="1" x14ac:dyDescent="0.25">
      <c r="B43" s="582" t="s">
        <v>678</v>
      </c>
      <c r="C43" s="582"/>
      <c r="D43" s="582"/>
      <c r="E43" s="582"/>
      <c r="F43" s="582"/>
    </row>
  </sheetData>
  <mergeCells count="10">
    <mergeCell ref="B2:F2"/>
    <mergeCell ref="B43:F43"/>
    <mergeCell ref="B18:B20"/>
    <mergeCell ref="B21:B23"/>
    <mergeCell ref="B24:B25"/>
    <mergeCell ref="B26:B27"/>
    <mergeCell ref="B29:F29"/>
    <mergeCell ref="B37:B38"/>
    <mergeCell ref="B39:B40"/>
    <mergeCell ref="B41:B42"/>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81EED-3ABA-4503-84E8-5432DA18D363}">
  <sheetPr>
    <tabColor rgb="FF009999"/>
  </sheetPr>
  <dimension ref="B1:F30"/>
  <sheetViews>
    <sheetView showGridLines="0" workbookViewId="0"/>
    <sheetView workbookViewId="1"/>
  </sheetViews>
  <sheetFormatPr baseColWidth="10" defaultRowHeight="15" x14ac:dyDescent="0.25"/>
  <cols>
    <col min="1" max="1" width="5.7109375" customWidth="1"/>
    <col min="2" max="2" width="20" customWidth="1"/>
    <col min="3" max="3" width="28.85546875" customWidth="1"/>
    <col min="4" max="4" width="16" customWidth="1"/>
  </cols>
  <sheetData>
    <row r="1" spans="2:4" ht="26.45" customHeight="1" x14ac:dyDescent="0.25">
      <c r="B1" s="8" t="s">
        <v>638</v>
      </c>
    </row>
    <row r="2" spans="2:4" ht="32.450000000000003" customHeight="1" x14ac:dyDescent="0.25">
      <c r="B2" s="509" t="s">
        <v>639</v>
      </c>
      <c r="C2" s="509"/>
      <c r="D2" s="509"/>
    </row>
    <row r="3" spans="2:4" ht="24" x14ac:dyDescent="0.25">
      <c r="B3" s="362" t="s">
        <v>37</v>
      </c>
      <c r="C3" s="362" t="s">
        <v>45</v>
      </c>
      <c r="D3" s="362" t="s">
        <v>112</v>
      </c>
    </row>
    <row r="4" spans="2:4" x14ac:dyDescent="0.25">
      <c r="B4" s="42" t="s">
        <v>27</v>
      </c>
      <c r="C4" s="43" t="s">
        <v>46</v>
      </c>
      <c r="D4" s="44">
        <v>60000</v>
      </c>
    </row>
    <row r="5" spans="2:4" x14ac:dyDescent="0.25">
      <c r="B5" s="42" t="s">
        <v>679</v>
      </c>
      <c r="C5" s="43" t="s">
        <v>47</v>
      </c>
      <c r="D5" s="44">
        <v>75000</v>
      </c>
    </row>
    <row r="6" spans="2:4" x14ac:dyDescent="0.25">
      <c r="B6" s="42" t="s">
        <v>16</v>
      </c>
      <c r="C6" s="43" t="s">
        <v>48</v>
      </c>
      <c r="D6" s="44">
        <v>75000</v>
      </c>
    </row>
    <row r="7" spans="2:4" x14ac:dyDescent="0.25">
      <c r="B7" s="42" t="s">
        <v>17</v>
      </c>
      <c r="C7" s="43" t="s">
        <v>49</v>
      </c>
      <c r="D7" s="44">
        <v>75840</v>
      </c>
    </row>
    <row r="8" spans="2:4" x14ac:dyDescent="0.25">
      <c r="B8" s="42" t="s">
        <v>18</v>
      </c>
      <c r="C8" s="43" t="s">
        <v>50</v>
      </c>
      <c r="D8" s="44">
        <v>78449</v>
      </c>
    </row>
    <row r="9" spans="2:4" x14ac:dyDescent="0.25">
      <c r="B9" s="42" t="s">
        <v>19</v>
      </c>
      <c r="C9" s="43" t="s">
        <v>50</v>
      </c>
      <c r="D9" s="44">
        <v>80528</v>
      </c>
    </row>
    <row r="10" spans="2:4" x14ac:dyDescent="0.25">
      <c r="B10" s="42" t="s">
        <v>20</v>
      </c>
      <c r="C10" s="43" t="s">
        <v>50</v>
      </c>
      <c r="D10" s="44">
        <v>82058</v>
      </c>
    </row>
    <row r="11" spans="2:4" x14ac:dyDescent="0.25">
      <c r="B11" s="42" t="s">
        <v>21</v>
      </c>
      <c r="C11" s="43" t="s">
        <v>50</v>
      </c>
      <c r="D11" s="44">
        <v>85964</v>
      </c>
    </row>
    <row r="12" spans="2:4" x14ac:dyDescent="0.25">
      <c r="B12" s="42" t="s">
        <v>22</v>
      </c>
      <c r="C12" s="43" t="s">
        <v>50</v>
      </c>
      <c r="D12" s="44">
        <v>89764</v>
      </c>
    </row>
    <row r="13" spans="2:4" x14ac:dyDescent="0.25">
      <c r="B13" s="42" t="s">
        <v>23</v>
      </c>
      <c r="C13" s="43" t="s">
        <v>50</v>
      </c>
      <c r="D13" s="44">
        <v>93543</v>
      </c>
    </row>
    <row r="14" spans="2:4" x14ac:dyDescent="0.25">
      <c r="B14" s="42" t="s">
        <v>24</v>
      </c>
      <c r="C14" s="43" t="s">
        <v>50</v>
      </c>
      <c r="D14" s="44">
        <v>102897</v>
      </c>
    </row>
    <row r="15" spans="2:4" x14ac:dyDescent="0.25">
      <c r="B15" s="42" t="s">
        <v>25</v>
      </c>
      <c r="C15" s="43" t="s">
        <v>50</v>
      </c>
      <c r="D15" s="44">
        <v>104646</v>
      </c>
    </row>
    <row r="16" spans="2:4" x14ac:dyDescent="0.25">
      <c r="B16" s="42" t="s">
        <v>26</v>
      </c>
      <c r="C16" s="43" t="s">
        <v>50</v>
      </c>
      <c r="D16" s="44">
        <v>107304</v>
      </c>
    </row>
    <row r="17" spans="2:6" x14ac:dyDescent="0.25">
      <c r="B17" s="42" t="s">
        <v>33</v>
      </c>
      <c r="C17" s="43" t="s">
        <v>50</v>
      </c>
      <c r="D17" s="44">
        <v>110201</v>
      </c>
    </row>
    <row r="18" spans="2:6" x14ac:dyDescent="0.25">
      <c r="B18" s="42" t="s">
        <v>32</v>
      </c>
      <c r="C18" s="43" t="s">
        <v>50</v>
      </c>
      <c r="D18" s="44">
        <v>137751</v>
      </c>
    </row>
    <row r="19" spans="2:6" x14ac:dyDescent="0.25">
      <c r="B19" s="42" t="s">
        <v>38</v>
      </c>
      <c r="C19" s="43" t="s">
        <v>50</v>
      </c>
      <c r="D19" s="44">
        <v>141374</v>
      </c>
    </row>
    <row r="20" spans="2:6" x14ac:dyDescent="0.25">
      <c r="B20" s="42" t="s">
        <v>39</v>
      </c>
      <c r="C20" s="43" t="s">
        <v>50</v>
      </c>
      <c r="D20" s="44">
        <v>158339</v>
      </c>
    </row>
    <row r="21" spans="2:6" x14ac:dyDescent="0.25">
      <c r="B21" s="42" t="s">
        <v>43</v>
      </c>
      <c r="C21" s="43" t="s">
        <v>50</v>
      </c>
      <c r="D21" s="44">
        <v>164356</v>
      </c>
    </row>
    <row r="22" spans="2:6" x14ac:dyDescent="0.25">
      <c r="B22" s="42" t="s">
        <v>55</v>
      </c>
      <c r="C22" s="43" t="s">
        <v>50</v>
      </c>
      <c r="D22" s="44">
        <v>176096</v>
      </c>
    </row>
    <row r="23" spans="2:6" x14ac:dyDescent="0.25">
      <c r="B23" s="42" t="s">
        <v>113</v>
      </c>
      <c r="C23" s="43" t="s">
        <v>114</v>
      </c>
      <c r="D23" s="44">
        <v>185000</v>
      </c>
    </row>
    <row r="24" spans="2:6" x14ac:dyDescent="0.25">
      <c r="B24" s="42" t="s">
        <v>56</v>
      </c>
      <c r="C24" s="43" t="s">
        <v>114</v>
      </c>
      <c r="D24" s="44">
        <v>193935</v>
      </c>
    </row>
    <row r="25" spans="2:6" x14ac:dyDescent="0.25">
      <c r="B25" s="42" t="s">
        <v>115</v>
      </c>
      <c r="C25" s="43" t="s">
        <v>114</v>
      </c>
      <c r="D25" s="44">
        <v>206173</v>
      </c>
    </row>
    <row r="26" spans="2:6" x14ac:dyDescent="0.25">
      <c r="B26" s="42" t="s">
        <v>150</v>
      </c>
      <c r="C26" s="43" t="s">
        <v>114</v>
      </c>
      <c r="D26" s="44">
        <v>214296</v>
      </c>
    </row>
    <row r="27" spans="2:6" x14ac:dyDescent="0.25">
      <c r="B27" s="42" t="s">
        <v>657</v>
      </c>
      <c r="C27" s="43" t="s">
        <v>114</v>
      </c>
      <c r="D27" s="44">
        <v>224004</v>
      </c>
      <c r="F27" s="377"/>
    </row>
    <row r="28" spans="2:6" x14ac:dyDescent="0.25">
      <c r="B28" s="42" t="s">
        <v>658</v>
      </c>
      <c r="C28" s="43" t="s">
        <v>114</v>
      </c>
      <c r="D28" s="44">
        <v>250000</v>
      </c>
    </row>
    <row r="29" spans="2:6" x14ac:dyDescent="0.25">
      <c r="B29" s="502" t="s">
        <v>672</v>
      </c>
      <c r="C29" s="43" t="s">
        <v>114</v>
      </c>
      <c r="D29" s="44">
        <v>250275</v>
      </c>
    </row>
    <row r="30" spans="2:6" ht="42" customHeight="1" x14ac:dyDescent="0.25">
      <c r="B30" s="582" t="s">
        <v>153</v>
      </c>
      <c r="C30" s="582"/>
      <c r="D30" s="582"/>
    </row>
  </sheetData>
  <mergeCells count="2">
    <mergeCell ref="B2:D2"/>
    <mergeCell ref="B30:D30"/>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5E739-8E17-42B1-9F6A-7CC9057D30AB}">
  <sheetPr>
    <tabColor rgb="FFFFC000"/>
  </sheetPr>
  <dimension ref="B1:S40"/>
  <sheetViews>
    <sheetView showGridLines="0" workbookViewId="0"/>
    <sheetView workbookViewId="1"/>
  </sheetViews>
  <sheetFormatPr baseColWidth="10" defaultRowHeight="15" x14ac:dyDescent="0.25"/>
  <cols>
    <col min="1" max="1" width="4.28515625" customWidth="1"/>
    <col min="2" max="2" width="13.7109375" customWidth="1"/>
    <col min="7" max="7" width="12.85546875" customWidth="1"/>
    <col min="8" max="8" width="14.85546875" customWidth="1"/>
  </cols>
  <sheetData>
    <row r="1" spans="2:8" ht="34.9" customHeight="1" x14ac:dyDescent="0.25"/>
    <row r="2" spans="2:8" x14ac:dyDescent="0.25">
      <c r="B2" s="587" t="s">
        <v>645</v>
      </c>
      <c r="C2" s="587"/>
      <c r="D2" s="587"/>
      <c r="E2" s="587"/>
      <c r="F2" s="587"/>
      <c r="G2" s="587"/>
      <c r="H2" s="587"/>
    </row>
    <row r="3" spans="2:8" x14ac:dyDescent="0.25">
      <c r="B3" s="588"/>
      <c r="C3" s="588"/>
      <c r="D3" s="588"/>
      <c r="E3" s="588"/>
      <c r="F3" s="588"/>
      <c r="G3" s="588"/>
      <c r="H3" s="588"/>
    </row>
    <row r="4" spans="2:8" x14ac:dyDescent="0.25">
      <c r="B4" s="588"/>
      <c r="C4" s="588"/>
      <c r="D4" s="588"/>
      <c r="E4" s="588"/>
      <c r="F4" s="588"/>
      <c r="G4" s="588"/>
      <c r="H4" s="588"/>
    </row>
    <row r="5" spans="2:8" x14ac:dyDescent="0.25">
      <c r="B5" s="588"/>
      <c r="C5" s="588"/>
      <c r="D5" s="588"/>
      <c r="E5" s="588"/>
      <c r="F5" s="588"/>
      <c r="G5" s="588"/>
      <c r="H5" s="588"/>
    </row>
    <row r="6" spans="2:8" x14ac:dyDescent="0.25">
      <c r="B6" s="588"/>
      <c r="C6" s="588"/>
      <c r="D6" s="588"/>
      <c r="E6" s="588"/>
      <c r="F6" s="588"/>
      <c r="G6" s="588"/>
      <c r="H6" s="588"/>
    </row>
    <row r="7" spans="2:8" x14ac:dyDescent="0.25">
      <c r="B7" s="588"/>
      <c r="C7" s="588"/>
      <c r="D7" s="588"/>
      <c r="E7" s="588"/>
      <c r="F7" s="588"/>
      <c r="G7" s="588"/>
      <c r="H7" s="588"/>
    </row>
    <row r="8" spans="2:8" x14ac:dyDescent="0.25">
      <c r="B8" s="588"/>
      <c r="C8" s="588"/>
      <c r="D8" s="588"/>
      <c r="E8" s="588"/>
      <c r="F8" s="588"/>
      <c r="G8" s="588"/>
      <c r="H8" s="588"/>
    </row>
    <row r="9" spans="2:8" x14ac:dyDescent="0.25">
      <c r="B9" s="588"/>
      <c r="C9" s="588"/>
      <c r="D9" s="588"/>
      <c r="E9" s="588"/>
      <c r="F9" s="588"/>
      <c r="G9" s="588"/>
      <c r="H9" s="588"/>
    </row>
    <row r="10" spans="2:8" x14ac:dyDescent="0.25">
      <c r="B10" s="588"/>
      <c r="C10" s="588"/>
      <c r="D10" s="588"/>
      <c r="E10" s="588"/>
      <c r="F10" s="588"/>
      <c r="G10" s="588"/>
      <c r="H10" s="588"/>
    </row>
    <row r="11" spans="2:8" ht="27.6" customHeight="1" x14ac:dyDescent="0.25">
      <c r="B11" s="588"/>
      <c r="C11" s="588"/>
      <c r="D11" s="588"/>
      <c r="E11" s="588"/>
      <c r="F11" s="588"/>
      <c r="G11" s="588"/>
      <c r="H11" s="588"/>
    </row>
    <row r="12" spans="2:8" ht="31.15" customHeight="1" x14ac:dyDescent="0.25">
      <c r="B12" s="588"/>
      <c r="C12" s="588"/>
      <c r="D12" s="588"/>
      <c r="E12" s="588"/>
      <c r="F12" s="588"/>
      <c r="G12" s="588"/>
      <c r="H12" s="588"/>
    </row>
    <row r="13" spans="2:8" x14ac:dyDescent="0.25">
      <c r="B13" s="588"/>
      <c r="C13" s="588"/>
      <c r="D13" s="588"/>
      <c r="E13" s="588"/>
      <c r="F13" s="588"/>
      <c r="G13" s="588"/>
      <c r="H13" s="588"/>
    </row>
    <row r="14" spans="2:8" x14ac:dyDescent="0.25">
      <c r="B14" s="588"/>
      <c r="C14" s="588"/>
      <c r="D14" s="588"/>
      <c r="E14" s="588"/>
      <c r="F14" s="588"/>
      <c r="G14" s="588"/>
      <c r="H14" s="588"/>
    </row>
    <row r="15" spans="2:8" x14ac:dyDescent="0.25">
      <c r="B15" s="588"/>
      <c r="C15" s="588"/>
      <c r="D15" s="588"/>
      <c r="E15" s="588"/>
      <c r="F15" s="588"/>
      <c r="G15" s="588"/>
      <c r="H15" s="588"/>
    </row>
    <row r="16" spans="2:8" x14ac:dyDescent="0.25">
      <c r="B16" s="588"/>
      <c r="C16" s="588"/>
      <c r="D16" s="588"/>
      <c r="E16" s="588"/>
      <c r="F16" s="588"/>
      <c r="G16" s="588"/>
      <c r="H16" s="588"/>
    </row>
    <row r="17" spans="2:19" x14ac:dyDescent="0.25">
      <c r="B17" s="588"/>
      <c r="C17" s="588"/>
      <c r="D17" s="588"/>
      <c r="E17" s="588"/>
      <c r="F17" s="588"/>
      <c r="G17" s="588"/>
      <c r="H17" s="588"/>
    </row>
    <row r="18" spans="2:19" x14ac:dyDescent="0.25">
      <c r="B18" s="588"/>
      <c r="C18" s="588"/>
      <c r="D18" s="588"/>
      <c r="E18" s="588"/>
      <c r="F18" s="588"/>
      <c r="G18" s="588"/>
      <c r="H18" s="588"/>
    </row>
    <row r="19" spans="2:19" x14ac:dyDescent="0.25">
      <c r="B19" s="589" t="s">
        <v>680</v>
      </c>
      <c r="C19" s="589"/>
      <c r="D19" s="589"/>
      <c r="E19" s="589"/>
      <c r="F19" s="589"/>
      <c r="G19" s="589"/>
      <c r="H19" s="589"/>
    </row>
    <row r="21" spans="2:19" x14ac:dyDescent="0.25">
      <c r="S21" s="442"/>
    </row>
    <row r="22" spans="2:19" ht="25.9" customHeight="1" x14ac:dyDescent="0.25">
      <c r="B22" s="322" t="s">
        <v>0</v>
      </c>
      <c r="C22" s="322" t="s">
        <v>6</v>
      </c>
      <c r="D22" s="322" t="s">
        <v>44</v>
      </c>
      <c r="E22" s="322" t="s">
        <v>1</v>
      </c>
      <c r="F22" s="322" t="s">
        <v>3</v>
      </c>
      <c r="G22" s="322" t="s">
        <v>4</v>
      </c>
      <c r="H22" s="322" t="s">
        <v>2</v>
      </c>
    </row>
    <row r="23" spans="2:19" x14ac:dyDescent="0.25">
      <c r="B23" s="23">
        <v>39783</v>
      </c>
      <c r="C23" s="465">
        <f>YEAR(B23)</f>
        <v>2008</v>
      </c>
      <c r="D23" s="9" t="str">
        <f>VLOOKUP($B23,'Tabla 3'!$B$4:$I$1048576,7,FALSE)</f>
        <v xml:space="preserve">                  -   </v>
      </c>
      <c r="E23" s="9">
        <f>VLOOKUP($B23,'Tabla 3'!$B$4:$I$1048576,2,FALSE)</f>
        <v>358445</v>
      </c>
      <c r="F23" s="9">
        <f>VLOOKUP($B23,'Tabla 3'!$B$4:$I$1048576,4,FALSE)</f>
        <v>4485</v>
      </c>
      <c r="G23" s="9">
        <f>VLOOKUP($B23,'Tabla 3'!$B$4:$I$1048576,5,FALSE)</f>
        <v>700</v>
      </c>
      <c r="H23" s="9">
        <f>VLOOKUP($B23,'Tabla 3'!$B$4:$I$1048576,3,FALSE)</f>
        <v>194451</v>
      </c>
    </row>
    <row r="24" spans="2:19" x14ac:dyDescent="0.25">
      <c r="B24" s="23">
        <v>40148</v>
      </c>
      <c r="C24" s="465">
        <f t="shared" ref="C24:C39" si="0">YEAR(B24)</f>
        <v>2009</v>
      </c>
      <c r="D24" s="9" t="str">
        <f>VLOOKUP($B24,'Tabla 3'!$B$4:$I$1048576,7,FALSE)</f>
        <v xml:space="preserve">                  -   </v>
      </c>
      <c r="E24" s="9">
        <f>VLOOKUP($B24,'Tabla 3'!$B$4:$I$1048576,2,FALSE)</f>
        <v>398828</v>
      </c>
      <c r="F24" s="9">
        <f>VLOOKUP($B24,'Tabla 3'!$B$4:$I$1048576,4,FALSE)</f>
        <v>237978</v>
      </c>
      <c r="G24" s="9">
        <f>VLOOKUP($B24,'Tabla 3'!$B$4:$I$1048576,5,FALSE)</f>
        <v>8766</v>
      </c>
      <c r="H24" s="9">
        <f>VLOOKUP($B24,'Tabla 3'!$B$4:$I$1048576,3,FALSE)</f>
        <v>212205</v>
      </c>
    </row>
    <row r="25" spans="2:19" x14ac:dyDescent="0.25">
      <c r="B25" s="23">
        <v>40513</v>
      </c>
      <c r="C25" s="465">
        <f t="shared" si="0"/>
        <v>2010</v>
      </c>
      <c r="D25" s="9" t="str">
        <f>VLOOKUP($B25,'Tabla 3'!$B$4:$I$1048576,7,FALSE)</f>
        <v xml:space="preserve">                    -   </v>
      </c>
      <c r="E25" s="9">
        <f>VLOOKUP($B25,'Tabla 3'!$B$4:$I$1048576,2,FALSE)</f>
        <v>407118</v>
      </c>
      <c r="F25" s="9">
        <f>VLOOKUP($B25,'Tabla 3'!$B$4:$I$1048576,4,FALSE)</f>
        <v>370216</v>
      </c>
      <c r="G25" s="9">
        <f>VLOOKUP($B25,'Tabla 3'!$B$4:$I$1048576,5,FALSE)</f>
        <v>17371</v>
      </c>
      <c r="H25" s="9">
        <f>VLOOKUP($B25,'Tabla 3'!$B$4:$I$1048576,3,FALSE)</f>
        <v>216390</v>
      </c>
    </row>
    <row r="26" spans="2:19" x14ac:dyDescent="0.25">
      <c r="B26" s="23">
        <v>40878</v>
      </c>
      <c r="C26" s="465">
        <f t="shared" si="0"/>
        <v>2011</v>
      </c>
      <c r="D26" s="9" t="str">
        <f>VLOOKUP($B26,'Tabla 3'!$B$4:$I$1048576,7,FALSE)</f>
        <v xml:space="preserve">                    -   </v>
      </c>
      <c r="E26" s="9">
        <f>VLOOKUP($B26,'Tabla 3'!$B$4:$I$1048576,2,FALSE)</f>
        <v>405116</v>
      </c>
      <c r="F26" s="9">
        <f>VLOOKUP($B26,'Tabla 3'!$B$4:$I$1048576,4,FALSE)</f>
        <v>436791</v>
      </c>
      <c r="G26" s="9">
        <f>VLOOKUP($B26,'Tabla 3'!$B$4:$I$1048576,5,FALSE)</f>
        <v>25904</v>
      </c>
      <c r="H26" s="9">
        <f>VLOOKUP($B26,'Tabla 3'!$B$4:$I$1048576,3,FALSE)</f>
        <v>213801</v>
      </c>
    </row>
    <row r="27" spans="2:19" x14ac:dyDescent="0.25">
      <c r="B27" s="23">
        <v>41244</v>
      </c>
      <c r="C27" s="465">
        <f t="shared" si="0"/>
        <v>2012</v>
      </c>
      <c r="D27" s="9" t="str">
        <f>VLOOKUP($B27,'Tabla 3'!$B$4:$I$1048576,7,FALSE)</f>
        <v xml:space="preserve">                    -   </v>
      </c>
      <c r="E27" s="9">
        <f>VLOOKUP($B27,'Tabla 3'!$B$4:$I$1048576,2,FALSE)</f>
        <v>406123</v>
      </c>
      <c r="F27" s="9">
        <f>VLOOKUP($B27,'Tabla 3'!$B$4:$I$1048576,4,FALSE)</f>
        <v>539888</v>
      </c>
      <c r="G27" s="9">
        <f>VLOOKUP($B27,'Tabla 3'!$B$4:$I$1048576,5,FALSE)</f>
        <v>40164</v>
      </c>
      <c r="H27" s="9">
        <f>VLOOKUP($B27,'Tabla 3'!$B$4:$I$1048576,3,FALSE)</f>
        <v>194854</v>
      </c>
    </row>
    <row r="28" spans="2:19" x14ac:dyDescent="0.25">
      <c r="B28" s="23">
        <v>41609</v>
      </c>
      <c r="C28" s="465">
        <f t="shared" si="0"/>
        <v>2013</v>
      </c>
      <c r="D28" s="9" t="str">
        <f>VLOOKUP($B28,'Tabla 3'!$B$4:$I$1048576,7,FALSE)</f>
        <v xml:space="preserve">                    -   </v>
      </c>
      <c r="E28" s="9">
        <f>VLOOKUP($B28,'Tabla 3'!$B$4:$I$1048576,2,FALSE)</f>
        <v>400768</v>
      </c>
      <c r="F28" s="9">
        <f>VLOOKUP($B28,'Tabla 3'!$B$4:$I$1048576,4,FALSE)</f>
        <v>586883</v>
      </c>
      <c r="G28" s="9">
        <f>VLOOKUP($B28,'Tabla 3'!$B$4:$I$1048576,5,FALSE)</f>
        <v>54475</v>
      </c>
      <c r="H28" s="9">
        <f>VLOOKUP($B28,'Tabla 3'!$B$4:$I$1048576,3,FALSE)</f>
        <v>186782</v>
      </c>
    </row>
    <row r="29" spans="2:19" x14ac:dyDescent="0.25">
      <c r="B29" s="23">
        <v>41974</v>
      </c>
      <c r="C29" s="465">
        <f t="shared" si="0"/>
        <v>2014</v>
      </c>
      <c r="D29" s="9" t="str">
        <f>VLOOKUP($B29,'Tabla 3'!$B$4:$I$1048576,7,FALSE)</f>
        <v xml:space="preserve">                    -   </v>
      </c>
      <c r="E29" s="9">
        <f>VLOOKUP($B29,'Tabla 3'!$B$4:$I$1048576,2,FALSE)</f>
        <v>401656</v>
      </c>
      <c r="F29" s="9">
        <f>VLOOKUP($B29,'Tabla 3'!$B$4:$I$1048576,4,FALSE)</f>
        <v>635745</v>
      </c>
      <c r="G29" s="9">
        <f>VLOOKUP($B29,'Tabla 3'!$B$4:$I$1048576,5,FALSE)</f>
        <v>62681</v>
      </c>
      <c r="H29" s="9">
        <f>VLOOKUP($B29,'Tabla 3'!$B$4:$I$1048576,3,FALSE)</f>
        <v>181546</v>
      </c>
    </row>
    <row r="30" spans="2:19" x14ac:dyDescent="0.25">
      <c r="B30" s="23">
        <v>42339</v>
      </c>
      <c r="C30" s="465">
        <f t="shared" si="0"/>
        <v>2015</v>
      </c>
      <c r="D30" s="9" t="str">
        <f>VLOOKUP($B30,'Tabla 3'!$B$4:$I$1048576,7,FALSE)</f>
        <v xml:space="preserve">                    -   </v>
      </c>
      <c r="E30" s="9">
        <f>VLOOKUP($B30,'Tabla 3'!$B$4:$I$1048576,2,FALSE)</f>
        <v>399514</v>
      </c>
      <c r="F30" s="9">
        <f>VLOOKUP($B30,'Tabla 3'!$B$4:$I$1048576,4,FALSE)</f>
        <v>686489</v>
      </c>
      <c r="G30" s="9">
        <f>VLOOKUP($B30,'Tabla 3'!$B$4:$I$1048576,5,FALSE)</f>
        <v>65127</v>
      </c>
      <c r="H30" s="9">
        <f>VLOOKUP($B30,'Tabla 3'!$B$4:$I$1048576,3,FALSE)</f>
        <v>179778</v>
      </c>
    </row>
    <row r="31" spans="2:19" x14ac:dyDescent="0.25">
      <c r="B31" s="23">
        <v>42705</v>
      </c>
      <c r="C31" s="465">
        <f t="shared" si="0"/>
        <v>2016</v>
      </c>
      <c r="D31" s="9" t="str">
        <f>VLOOKUP($B31,'Tabla 3'!$B$4:$I$1048576,7,FALSE)</f>
        <v xml:space="preserve">                    -   </v>
      </c>
      <c r="E31" s="9">
        <f>VLOOKUP($B31,'Tabla 3'!$B$4:$I$1048576,2,FALSE)</f>
        <v>398651</v>
      </c>
      <c r="F31" s="9">
        <f>VLOOKUP($B31,'Tabla 3'!$B$4:$I$1048576,4,FALSE)</f>
        <v>725754</v>
      </c>
      <c r="G31" s="9">
        <f>VLOOKUP($B31,'Tabla 3'!$B$4:$I$1048576,5,FALSE)</f>
        <v>64883</v>
      </c>
      <c r="H31" s="9">
        <f>VLOOKUP($B31,'Tabla 3'!$B$4:$I$1048576,3,FALSE)</f>
        <v>181321</v>
      </c>
    </row>
    <row r="32" spans="2:19" x14ac:dyDescent="0.25">
      <c r="B32" s="23">
        <v>43070</v>
      </c>
      <c r="C32" s="465">
        <f t="shared" si="0"/>
        <v>2017</v>
      </c>
      <c r="D32" s="9" t="str">
        <f>VLOOKUP($B32,'Tabla 3'!$B$4:$I$1048576,7,FALSE)</f>
        <v xml:space="preserve">                    -   </v>
      </c>
      <c r="E32" s="9">
        <f>VLOOKUP($B32,'Tabla 3'!$B$4:$I$1048576,2,FALSE)</f>
        <v>399510</v>
      </c>
      <c r="F32" s="9">
        <f>VLOOKUP($B32,'Tabla 3'!$B$4:$I$1048576,4,FALSE)</f>
        <v>774083</v>
      </c>
      <c r="G32" s="9">
        <f>VLOOKUP($B32,'Tabla 3'!$B$4:$I$1048576,5,FALSE)</f>
        <v>64441</v>
      </c>
      <c r="H32" s="9">
        <f>VLOOKUP($B32,'Tabla 3'!$B$4:$I$1048576,3,FALSE)</f>
        <v>182304</v>
      </c>
    </row>
    <row r="33" spans="2:8" x14ac:dyDescent="0.25">
      <c r="B33" s="23">
        <v>43435</v>
      </c>
      <c r="C33" s="465">
        <f t="shared" si="0"/>
        <v>2018</v>
      </c>
      <c r="D33" s="9" t="str">
        <f>VLOOKUP($B33,'Tabla 3'!$B$4:$I$1048576,7,FALSE)</f>
        <v xml:space="preserve">                    -   </v>
      </c>
      <c r="E33" s="9">
        <f>VLOOKUP($B33,'Tabla 3'!$B$4:$I$1048576,2,FALSE)</f>
        <v>404348</v>
      </c>
      <c r="F33" s="9">
        <f>VLOOKUP($B33,'Tabla 3'!$B$4:$I$1048576,4,FALSE)</f>
        <v>853431</v>
      </c>
      <c r="G33" s="9">
        <f>VLOOKUP($B33,'Tabla 3'!$B$4:$I$1048576,5,FALSE)</f>
        <v>66902</v>
      </c>
      <c r="H33" s="9">
        <f>VLOOKUP($B33,'Tabla 3'!$B$4:$I$1048576,3,FALSE)</f>
        <v>182911</v>
      </c>
    </row>
    <row r="34" spans="2:8" x14ac:dyDescent="0.25">
      <c r="B34" s="23">
        <v>43800</v>
      </c>
      <c r="C34" s="465">
        <f t="shared" si="0"/>
        <v>2019</v>
      </c>
      <c r="D34" s="9" t="str">
        <f>VLOOKUP($B34,'Tabla 3'!$B$4:$I$1048576,7,FALSE)</f>
        <v xml:space="preserve">                    -   </v>
      </c>
      <c r="E34" s="9">
        <f>VLOOKUP($B34,'Tabla 3'!$B$4:$I$1048576,2,FALSE)</f>
        <v>407066</v>
      </c>
      <c r="F34" s="9">
        <f>VLOOKUP($B34,'Tabla 3'!$B$4:$I$1048576,4,FALSE)</f>
        <v>914029</v>
      </c>
      <c r="G34" s="9">
        <f>VLOOKUP($B34,'Tabla 3'!$B$4:$I$1048576,5,FALSE)</f>
        <v>68332</v>
      </c>
      <c r="H34" s="9">
        <f>VLOOKUP($B34,'Tabla 3'!$B$4:$I$1048576,3,FALSE)</f>
        <v>181957</v>
      </c>
    </row>
    <row r="35" spans="2:8" x14ac:dyDescent="0.25">
      <c r="B35" s="23">
        <v>44166</v>
      </c>
      <c r="C35" s="465">
        <f t="shared" si="0"/>
        <v>2020</v>
      </c>
      <c r="D35" s="9" t="str">
        <f>VLOOKUP($B35,'Tabla 3'!$B$4:$I$1048576,7,FALSE)</f>
        <v xml:space="preserve">                    -   </v>
      </c>
      <c r="E35" s="9">
        <f>VLOOKUP($B35,'Tabla 3'!$B$4:$I$1048576,2,FALSE)</f>
        <v>407108</v>
      </c>
      <c r="F35" s="9">
        <f>VLOOKUP($B35,'Tabla 3'!$B$4:$I$1048576,4,FALSE)</f>
        <v>1034956</v>
      </c>
      <c r="G35" s="9">
        <f>VLOOKUP($B35,'Tabla 3'!$B$4:$I$1048576,5,FALSE)</f>
        <v>72694</v>
      </c>
      <c r="H35" s="9">
        <f>VLOOKUP($B35,'Tabla 3'!$B$4:$I$1048576,3,FALSE)</f>
        <v>181176</v>
      </c>
    </row>
    <row r="36" spans="2:8" x14ac:dyDescent="0.25">
      <c r="B36" s="23">
        <v>44531</v>
      </c>
      <c r="C36" s="465">
        <f t="shared" si="0"/>
        <v>2021</v>
      </c>
      <c r="D36" s="9" t="str">
        <f>VLOOKUP($B36,'Tabla 3'!$B$4:$I$1048576,7,FALSE)</f>
        <v xml:space="preserve">                    -   </v>
      </c>
      <c r="E36" s="9">
        <f>VLOOKUP($B36,'Tabla 3'!$B$4:$I$1048576,2,FALSE)</f>
        <v>413523</v>
      </c>
      <c r="F36" s="9">
        <f>VLOOKUP($B36,'Tabla 3'!$B$4:$I$1048576,4,FALSE)</f>
        <v>1147603</v>
      </c>
      <c r="G36" s="9">
        <f>VLOOKUP($B36,'Tabla 3'!$B$4:$I$1048576,5,FALSE)</f>
        <v>84750</v>
      </c>
      <c r="H36" s="9">
        <f>VLOOKUP($B36,'Tabla 3'!$B$4:$I$1048576,3,FALSE)</f>
        <v>182087</v>
      </c>
    </row>
    <row r="37" spans="2:8" x14ac:dyDescent="0.25">
      <c r="B37" s="23">
        <v>44896</v>
      </c>
      <c r="C37" s="465">
        <f t="shared" si="0"/>
        <v>2022</v>
      </c>
      <c r="D37" s="9">
        <f>VLOOKUP($B37,'Tabla 3'!$B$4:$I$1048576,7,FALSE)</f>
        <v>1767717</v>
      </c>
      <c r="E37" s="9" t="str">
        <f>VLOOKUP($B37,'Tabla 3'!$B$4:$I$1048576,2,FALSE)</f>
        <v xml:space="preserve">                    -   </v>
      </c>
      <c r="F37" s="9">
        <f>VLOOKUP($B37,'Tabla 3'!$B$4:$I$1048576,4,FALSE)</f>
        <v>172179</v>
      </c>
      <c r="G37" s="9">
        <f>VLOOKUP($B37,'Tabla 3'!$B$4:$I$1048576,5,FALSE)</f>
        <v>92698</v>
      </c>
      <c r="H37" s="9">
        <f>VLOOKUP($B37,'Tabla 3'!$B$4:$I$1048576,3,FALSE)</f>
        <v>185584</v>
      </c>
    </row>
    <row r="38" spans="2:8" x14ac:dyDescent="0.25">
      <c r="B38" s="23">
        <v>45261</v>
      </c>
      <c r="C38" s="465">
        <f t="shared" si="0"/>
        <v>2023</v>
      </c>
      <c r="D38" s="9">
        <f>VLOOKUP($B38,'Tabla 3'!$B$4:$I$1048576,7,FALSE)</f>
        <v>1980698</v>
      </c>
      <c r="E38" s="9" t="str">
        <f>VLOOKUP($B38,'Tabla 3'!$B$4:$I$1048576,2,FALSE)</f>
        <v xml:space="preserve">                    -   </v>
      </c>
      <c r="F38" s="9">
        <f>VLOOKUP($B38,'Tabla 3'!$B$4:$I$1048576,4,FALSE)</f>
        <v>166187</v>
      </c>
      <c r="G38" s="9">
        <f>VLOOKUP($B38,'Tabla 3'!$B$4:$I$1048576,5,FALSE)</f>
        <v>97569</v>
      </c>
      <c r="H38" s="9">
        <f>VLOOKUP($B38,'Tabla 3'!$B$4:$I$1048576,3,FALSE)</f>
        <v>192805</v>
      </c>
    </row>
    <row r="39" spans="2:8" x14ac:dyDescent="0.25">
      <c r="B39" s="472">
        <v>45627</v>
      </c>
      <c r="C39" s="465">
        <f t="shared" si="0"/>
        <v>2024</v>
      </c>
      <c r="D39" s="9">
        <f>VLOOKUP($B39,'Tabla 3'!$B$4:$I$1048576,7,FALSE)</f>
        <v>2115774</v>
      </c>
      <c r="E39" s="9" t="str">
        <f>VLOOKUP($B39,'Tabla 3'!$B$4:$I$1048576,2,FALSE)</f>
        <v xml:space="preserve">                    -   </v>
      </c>
      <c r="F39" s="9">
        <f>VLOOKUP($B39,'Tabla 3'!$B$4:$I$1048576,4,FALSE)</f>
        <v>159353</v>
      </c>
      <c r="G39" s="9">
        <f>VLOOKUP($B39,'Tabla 3'!$B$4:$I$1048576,5,FALSE)</f>
        <v>100480</v>
      </c>
      <c r="H39" s="9">
        <f>VLOOKUP($B39,'Tabla 3'!$B$4:$I$1048576,3,FALSE)</f>
        <v>200026</v>
      </c>
    </row>
    <row r="40" spans="2:8" x14ac:dyDescent="0.25">
      <c r="B40" s="443">
        <v>45992</v>
      </c>
      <c r="C40" s="465">
        <f t="shared" ref="C40" si="1">YEAR(B40)</f>
        <v>2025</v>
      </c>
      <c r="D40" s="9">
        <f>VLOOKUP($B40,'Tabla 3'!$B$4:$I$1048576,7,FALSE)</f>
        <v>2243121</v>
      </c>
      <c r="E40" s="9" t="str">
        <f>VLOOKUP($B40,'Tabla 3'!$B$4:$I$1048576,2,FALSE)</f>
        <v xml:space="preserve">                    -   </v>
      </c>
      <c r="F40" s="9">
        <f>VLOOKUP($B40,'Tabla 3'!$B$4:$I$1048576,4,FALSE)</f>
        <v>153457</v>
      </c>
      <c r="G40" s="9">
        <f>VLOOKUP($B40,'Tabla 3'!$B$4:$I$1048576,5,FALSE)</f>
        <v>104699</v>
      </c>
      <c r="H40" s="9">
        <f>VLOOKUP($B40,'Tabla 3'!$B$4:$I$1048576,3,FALSE)</f>
        <v>204470</v>
      </c>
    </row>
  </sheetData>
  <mergeCells count="3">
    <mergeCell ref="B2:H2"/>
    <mergeCell ref="B3:H18"/>
    <mergeCell ref="B19:H19"/>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409FF-825E-4470-A3CF-8082772BE597}">
  <sheetPr>
    <tabColor rgb="FFFFC000"/>
  </sheetPr>
  <dimension ref="B2:O63"/>
  <sheetViews>
    <sheetView showGridLines="0" workbookViewId="0"/>
    <sheetView workbookViewId="1"/>
  </sheetViews>
  <sheetFormatPr baseColWidth="10" defaultRowHeight="15" x14ac:dyDescent="0.25"/>
  <cols>
    <col min="1" max="1" width="3.28515625" customWidth="1"/>
    <col min="2" max="2" width="11.7109375" customWidth="1"/>
    <col min="6" max="7" width="12.7109375" customWidth="1"/>
    <col min="9" max="9" width="12" customWidth="1"/>
  </cols>
  <sheetData>
    <row r="2" spans="2:15" x14ac:dyDescent="0.25">
      <c r="C2" s="261" t="s">
        <v>646</v>
      </c>
    </row>
    <row r="3" spans="2:15" x14ac:dyDescent="0.25">
      <c r="D3" s="441"/>
      <c r="E3" s="441"/>
      <c r="F3" s="441"/>
      <c r="G3" s="441"/>
      <c r="H3" s="441"/>
      <c r="I3" s="441"/>
    </row>
    <row r="4" spans="2:15" x14ac:dyDescent="0.25">
      <c r="B4" s="588"/>
      <c r="C4" s="588"/>
      <c r="D4" s="588"/>
      <c r="E4" s="588"/>
      <c r="F4" s="588"/>
      <c r="G4" s="588"/>
      <c r="H4" s="588"/>
      <c r="I4" s="588"/>
    </row>
    <row r="5" spans="2:15" x14ac:dyDescent="0.25">
      <c r="B5" s="588"/>
      <c r="C5" s="588"/>
      <c r="D5" s="588"/>
      <c r="E5" s="588"/>
      <c r="F5" s="588"/>
      <c r="G5" s="588"/>
      <c r="H5" s="588"/>
      <c r="I5" s="588"/>
    </row>
    <row r="6" spans="2:15" x14ac:dyDescent="0.25">
      <c r="B6" s="588"/>
      <c r="C6" s="588"/>
      <c r="D6" s="588"/>
      <c r="E6" s="588"/>
      <c r="F6" s="588"/>
      <c r="G6" s="588"/>
      <c r="H6" s="588"/>
      <c r="I6" s="588"/>
    </row>
    <row r="7" spans="2:15" x14ac:dyDescent="0.25">
      <c r="B7" s="588"/>
      <c r="C7" s="588"/>
      <c r="D7" s="588"/>
      <c r="E7" s="588"/>
      <c r="F7" s="588"/>
      <c r="G7" s="588"/>
      <c r="H7" s="588"/>
      <c r="I7" s="588"/>
    </row>
    <row r="8" spans="2:15" x14ac:dyDescent="0.25">
      <c r="B8" s="588"/>
      <c r="C8" s="588"/>
      <c r="D8" s="588"/>
      <c r="E8" s="588"/>
      <c r="F8" s="588"/>
      <c r="G8" s="588"/>
      <c r="H8" s="588"/>
      <c r="I8" s="588"/>
    </row>
    <row r="9" spans="2:15" x14ac:dyDescent="0.25">
      <c r="B9" s="588"/>
      <c r="C9" s="588"/>
      <c r="D9" s="588"/>
      <c r="E9" s="588"/>
      <c r="F9" s="588"/>
      <c r="G9" s="588"/>
      <c r="H9" s="588"/>
      <c r="I9" s="588"/>
      <c r="O9" s="53"/>
    </row>
    <row r="10" spans="2:15" x14ac:dyDescent="0.25">
      <c r="B10" s="588"/>
      <c r="C10" s="588"/>
      <c r="D10" s="588"/>
      <c r="E10" s="588"/>
      <c r="F10" s="588"/>
      <c r="G10" s="588"/>
      <c r="H10" s="588"/>
      <c r="I10" s="588"/>
    </row>
    <row r="11" spans="2:15" x14ac:dyDescent="0.25">
      <c r="B11" s="588"/>
      <c r="C11" s="588"/>
      <c r="D11" s="588"/>
      <c r="E11" s="588"/>
      <c r="F11" s="588"/>
      <c r="G11" s="588"/>
      <c r="H11" s="588"/>
      <c r="I11" s="588"/>
    </row>
    <row r="12" spans="2:15" x14ac:dyDescent="0.25">
      <c r="B12" s="588"/>
      <c r="C12" s="588"/>
      <c r="D12" s="588"/>
      <c r="E12" s="588"/>
      <c r="F12" s="588"/>
      <c r="G12" s="588"/>
      <c r="H12" s="588"/>
      <c r="I12" s="588"/>
    </row>
    <row r="13" spans="2:15" x14ac:dyDescent="0.25">
      <c r="B13" s="588"/>
      <c r="C13" s="588"/>
      <c r="D13" s="588"/>
      <c r="E13" s="588"/>
      <c r="F13" s="588"/>
      <c r="G13" s="588"/>
      <c r="H13" s="588"/>
      <c r="I13" s="588"/>
    </row>
    <row r="14" spans="2:15" x14ac:dyDescent="0.25">
      <c r="B14" s="588"/>
      <c r="C14" s="588"/>
      <c r="D14" s="588"/>
      <c r="E14" s="588"/>
      <c r="F14" s="588"/>
      <c r="G14" s="588"/>
      <c r="H14" s="588"/>
      <c r="I14" s="588"/>
    </row>
    <row r="15" spans="2:15" x14ac:dyDescent="0.25">
      <c r="B15" s="588"/>
      <c r="C15" s="588"/>
      <c r="D15" s="588"/>
      <c r="E15" s="588"/>
      <c r="F15" s="588"/>
      <c r="G15" s="588"/>
      <c r="H15" s="588"/>
      <c r="I15" s="588"/>
    </row>
    <row r="16" spans="2:15" x14ac:dyDescent="0.25">
      <c r="B16" s="588"/>
      <c r="C16" s="588"/>
      <c r="D16" s="588"/>
      <c r="E16" s="588"/>
      <c r="F16" s="588"/>
      <c r="G16" s="588"/>
      <c r="H16" s="588"/>
      <c r="I16" s="588"/>
    </row>
    <row r="17" spans="2:9" x14ac:dyDescent="0.25">
      <c r="B17" s="588"/>
      <c r="C17" s="588"/>
      <c r="D17" s="588"/>
      <c r="E17" s="588"/>
      <c r="F17" s="588"/>
      <c r="G17" s="588"/>
      <c r="H17" s="588"/>
      <c r="I17" s="588"/>
    </row>
    <row r="18" spans="2:9" x14ac:dyDescent="0.25">
      <c r="B18" s="588"/>
      <c r="C18" s="588"/>
      <c r="D18" s="588"/>
      <c r="E18" s="588"/>
      <c r="F18" s="588"/>
      <c r="G18" s="588"/>
      <c r="H18" s="588"/>
      <c r="I18" s="588"/>
    </row>
    <row r="33" spans="2:9" x14ac:dyDescent="0.25">
      <c r="C33" s="590" t="s">
        <v>680</v>
      </c>
      <c r="D33" s="591"/>
      <c r="E33" s="591"/>
      <c r="F33" s="591"/>
      <c r="G33" s="591"/>
    </row>
    <row r="36" spans="2:9" x14ac:dyDescent="0.25">
      <c r="B36" s="27" t="s">
        <v>129</v>
      </c>
      <c r="C36" s="50">
        <v>44896</v>
      </c>
      <c r="D36" s="50">
        <v>45261</v>
      </c>
      <c r="E36" s="50">
        <v>45627</v>
      </c>
      <c r="F36" s="50">
        <v>45992</v>
      </c>
    </row>
    <row r="37" spans="2:9" x14ac:dyDescent="0.25">
      <c r="B37" s="27" t="s">
        <v>2</v>
      </c>
      <c r="C37" s="51">
        <f>VLOOKUP(C$36,'Tabla 3'!$B$4:$I$21,3,FALSE)</f>
        <v>185584</v>
      </c>
      <c r="D37" s="51">
        <f>VLOOKUP(D$36,'Tabla 3'!$B$4:$I$21,3,FALSE)</f>
        <v>192805</v>
      </c>
      <c r="E37" s="51">
        <f>VLOOKUP(E$36,'Tabla 3'!$B$4:$I$21,3,FALSE)</f>
        <v>200026</v>
      </c>
      <c r="F37" s="51">
        <f>VLOOKUP(F$36,'Tabla 3'!$B$4:$I$21,3,FALSE)</f>
        <v>204470</v>
      </c>
    </row>
    <row r="38" spans="2:9" x14ac:dyDescent="0.25">
      <c r="B38" s="27" t="s">
        <v>4</v>
      </c>
      <c r="C38" s="51">
        <f>VLOOKUP(C$36,'Tabla 3'!$B$4:$I$21,5,FALSE)</f>
        <v>92698</v>
      </c>
      <c r="D38" s="51">
        <f>VLOOKUP(D$36,'Tabla 3'!$B$4:$I$21,5,FALSE)</f>
        <v>97569</v>
      </c>
      <c r="E38" s="51">
        <f>VLOOKUP(E$36,'Tabla 3'!$B$4:$I$21,5,FALSE)</f>
        <v>100480</v>
      </c>
      <c r="F38" s="51">
        <f>VLOOKUP(F$36,'Tabla 3'!$B$4:$I$21,5,FALSE)</f>
        <v>104699</v>
      </c>
    </row>
    <row r="39" spans="2:9" x14ac:dyDescent="0.25">
      <c r="B39" s="27" t="s">
        <v>1</v>
      </c>
      <c r="C39" s="51" t="str">
        <f>VLOOKUP(C$36,'Tabla 3'!$B$4:$I$21,2,FALSE)</f>
        <v xml:space="preserve">                    -   </v>
      </c>
      <c r="D39" s="51" t="str">
        <f>VLOOKUP(D$36,'Tabla 3'!$B$4:$I$21,2,FALSE)</f>
        <v xml:space="preserve">                    -   </v>
      </c>
      <c r="E39" s="51" t="str">
        <f>VLOOKUP(E$36,'Tabla 3'!$B$4:$I$21,2,FALSE)</f>
        <v xml:space="preserve">                    -   </v>
      </c>
      <c r="F39" s="51" t="str">
        <f>VLOOKUP(F$36,'Tabla 3'!$B$4:$I$21,2,FALSE)</f>
        <v xml:space="preserve">                    -   </v>
      </c>
    </row>
    <row r="40" spans="2:9" x14ac:dyDescent="0.25">
      <c r="B40" s="27" t="s">
        <v>3</v>
      </c>
      <c r="C40" s="51">
        <f>VLOOKUP(C$36,'Tabla 3'!$B$4:$I$21,4,FALSE)</f>
        <v>172179</v>
      </c>
      <c r="D40" s="51">
        <f>VLOOKUP(D$36,'Tabla 3'!$B$4:$I$21,4,FALSE)</f>
        <v>166187</v>
      </c>
      <c r="E40" s="51">
        <f>VLOOKUP(E$36,'Tabla 3'!$B$4:$I$21,4,FALSE)</f>
        <v>159353</v>
      </c>
      <c r="F40" s="51">
        <f>VLOOKUP(F$36,'Tabla 3'!$B$4:$I$21,4,FALSE)</f>
        <v>153457</v>
      </c>
    </row>
    <row r="41" spans="2:9" x14ac:dyDescent="0.25">
      <c r="B41" s="27" t="s">
        <v>44</v>
      </c>
      <c r="C41" s="51">
        <f>VLOOKUP(C$36,'Tabla 3'!$B$4:$I$21,7,FALSE)</f>
        <v>1767717</v>
      </c>
      <c r="D41" s="51">
        <f>VLOOKUP(D$36,'Tabla 3'!$B$4:$I$21,7,FALSE)</f>
        <v>1980698</v>
      </c>
      <c r="E41" s="51">
        <f>VLOOKUP(E$36,'Tabla 3'!$B$4:$I$21,7,FALSE)</f>
        <v>2115774</v>
      </c>
      <c r="F41" s="51">
        <f>VLOOKUP(F$36,'Tabla 3'!$B$4:$I$21,7,FALSE)</f>
        <v>2243121</v>
      </c>
    </row>
    <row r="45" spans="2:9" x14ac:dyDescent="0.25">
      <c r="B45" s="322" t="s">
        <v>129</v>
      </c>
      <c r="C45" s="322" t="s">
        <v>2</v>
      </c>
      <c r="D45" s="322" t="s">
        <v>4</v>
      </c>
      <c r="E45" s="322" t="s">
        <v>1</v>
      </c>
      <c r="F45" s="322" t="s">
        <v>3</v>
      </c>
      <c r="G45" s="322" t="s">
        <v>44</v>
      </c>
      <c r="H45" s="322" t="s">
        <v>95</v>
      </c>
      <c r="I45" s="322" t="s">
        <v>96</v>
      </c>
    </row>
    <row r="46" spans="2:9" x14ac:dyDescent="0.25">
      <c r="B46" s="452">
        <v>39783</v>
      </c>
      <c r="C46" s="51">
        <f>VLOOKUP($B46,'Tabla 3'!$B$4:$I$20,3,FALSE)</f>
        <v>194451</v>
      </c>
      <c r="D46" s="51">
        <f>VLOOKUP($B46,'Tabla 3'!$B$4:$I$20,5,FALSE)</f>
        <v>700</v>
      </c>
      <c r="E46" s="51">
        <f>VLOOKUP($B46,'Tabla 3'!$B$4:$I$20,2,FALSE)</f>
        <v>358445</v>
      </c>
      <c r="F46" s="51">
        <f>VLOOKUP($B46,'Tabla 3'!$B$4:$I$20,4,FALSE)</f>
        <v>4485</v>
      </c>
      <c r="G46" s="440"/>
      <c r="H46" s="453">
        <f>C46+D46</f>
        <v>195151</v>
      </c>
      <c r="I46" s="453">
        <f>E46+F46+G46</f>
        <v>362930</v>
      </c>
    </row>
    <row r="47" spans="2:9" x14ac:dyDescent="0.25">
      <c r="B47" s="452">
        <v>40148</v>
      </c>
      <c r="C47" s="51">
        <f>VLOOKUP($B47,'Tabla 3'!$B$4:$I$20,3,FALSE)</f>
        <v>212205</v>
      </c>
      <c r="D47" s="51">
        <f>VLOOKUP($B47,'Tabla 3'!$B$4:$I$20,5,FALSE)</f>
        <v>8766</v>
      </c>
      <c r="E47" s="51">
        <f>VLOOKUP($B47,'Tabla 3'!$B$4:$I$20,2,FALSE)</f>
        <v>398828</v>
      </c>
      <c r="F47" s="51">
        <f>VLOOKUP($B47,'Tabla 3'!$B$4:$I$20,4,FALSE)</f>
        <v>237978</v>
      </c>
      <c r="G47" s="440"/>
      <c r="H47" s="453">
        <f t="shared" ref="H47:H62" si="0">C47+D47</f>
        <v>220971</v>
      </c>
      <c r="I47" s="453">
        <f t="shared" ref="I47:I62" si="1">E47+F47+G47</f>
        <v>636806</v>
      </c>
    </row>
    <row r="48" spans="2:9" x14ac:dyDescent="0.25">
      <c r="B48" s="452">
        <v>40513</v>
      </c>
      <c r="C48" s="51">
        <f>VLOOKUP($B48,'Tabla 3'!$B$4:$I$20,3,FALSE)</f>
        <v>216390</v>
      </c>
      <c r="D48" s="51">
        <f>VLOOKUP($B48,'Tabla 3'!$B$4:$I$20,5,FALSE)</f>
        <v>17371</v>
      </c>
      <c r="E48" s="51">
        <f>VLOOKUP($B48,'Tabla 3'!$B$4:$I$20,2,FALSE)</f>
        <v>407118</v>
      </c>
      <c r="F48" s="51">
        <f>VLOOKUP($B48,'Tabla 3'!$B$4:$I$20,4,FALSE)</f>
        <v>370216</v>
      </c>
      <c r="G48" s="440"/>
      <c r="H48" s="453">
        <f t="shared" si="0"/>
        <v>233761</v>
      </c>
      <c r="I48" s="453">
        <f t="shared" si="1"/>
        <v>777334</v>
      </c>
    </row>
    <row r="49" spans="2:9" x14ac:dyDescent="0.25">
      <c r="B49" s="452">
        <v>40878</v>
      </c>
      <c r="C49" s="51">
        <f>VLOOKUP($B49,'Tabla 3'!$B$4:$I$20,3,FALSE)</f>
        <v>213801</v>
      </c>
      <c r="D49" s="51">
        <f>VLOOKUP($B49,'Tabla 3'!$B$4:$I$20,5,FALSE)</f>
        <v>25904</v>
      </c>
      <c r="E49" s="51">
        <f>VLOOKUP($B49,'Tabla 3'!$B$4:$I$20,2,FALSE)</f>
        <v>405116</v>
      </c>
      <c r="F49" s="51">
        <f>VLOOKUP($B49,'Tabla 3'!$B$4:$I$20,4,FALSE)</f>
        <v>436791</v>
      </c>
      <c r="G49" s="440"/>
      <c r="H49" s="453">
        <f t="shared" si="0"/>
        <v>239705</v>
      </c>
      <c r="I49" s="453">
        <f t="shared" si="1"/>
        <v>841907</v>
      </c>
    </row>
    <row r="50" spans="2:9" x14ac:dyDescent="0.25">
      <c r="B50" s="452">
        <v>41244</v>
      </c>
      <c r="C50" s="51">
        <f>VLOOKUP($B50,'Tabla 3'!$B$4:$I$20,3,FALSE)</f>
        <v>194854</v>
      </c>
      <c r="D50" s="51">
        <f>VLOOKUP($B50,'Tabla 3'!$B$4:$I$20,5,FALSE)</f>
        <v>40164</v>
      </c>
      <c r="E50" s="51">
        <f>VLOOKUP($B50,'Tabla 3'!$B$4:$I$20,2,FALSE)</f>
        <v>406123</v>
      </c>
      <c r="F50" s="51">
        <f>VLOOKUP($B50,'Tabla 3'!$B$4:$I$20,4,FALSE)</f>
        <v>539888</v>
      </c>
      <c r="G50" s="440"/>
      <c r="H50" s="453">
        <f t="shared" si="0"/>
        <v>235018</v>
      </c>
      <c r="I50" s="453">
        <f t="shared" si="1"/>
        <v>946011</v>
      </c>
    </row>
    <row r="51" spans="2:9" x14ac:dyDescent="0.25">
      <c r="B51" s="452">
        <v>41609</v>
      </c>
      <c r="C51" s="51">
        <f>VLOOKUP($B51,'Tabla 3'!$B$4:$I$20,3,FALSE)</f>
        <v>186782</v>
      </c>
      <c r="D51" s="51">
        <f>VLOOKUP($B51,'Tabla 3'!$B$4:$I$20,5,FALSE)</f>
        <v>54475</v>
      </c>
      <c r="E51" s="51">
        <f>VLOOKUP($B51,'Tabla 3'!$B$4:$I$20,2,FALSE)</f>
        <v>400768</v>
      </c>
      <c r="F51" s="51">
        <f>VLOOKUP($B51,'Tabla 3'!$B$4:$I$20,4,FALSE)</f>
        <v>586883</v>
      </c>
      <c r="G51" s="440"/>
      <c r="H51" s="453">
        <f t="shared" si="0"/>
        <v>241257</v>
      </c>
      <c r="I51" s="453">
        <f t="shared" si="1"/>
        <v>987651</v>
      </c>
    </row>
    <row r="52" spans="2:9" x14ac:dyDescent="0.25">
      <c r="B52" s="452">
        <v>41974</v>
      </c>
      <c r="C52" s="51">
        <f>VLOOKUP($B52,'Tabla 3'!$B$4:$I$20,3,FALSE)</f>
        <v>181546</v>
      </c>
      <c r="D52" s="51">
        <f>VLOOKUP($B52,'Tabla 3'!$B$4:$I$20,5,FALSE)</f>
        <v>62681</v>
      </c>
      <c r="E52" s="51">
        <f>VLOOKUP($B52,'Tabla 3'!$B$4:$I$20,2,FALSE)</f>
        <v>401656</v>
      </c>
      <c r="F52" s="51">
        <f>VLOOKUP($B52,'Tabla 3'!$B$4:$I$20,4,FALSE)</f>
        <v>635745</v>
      </c>
      <c r="G52" s="440"/>
      <c r="H52" s="453">
        <f t="shared" si="0"/>
        <v>244227</v>
      </c>
      <c r="I52" s="453">
        <f t="shared" si="1"/>
        <v>1037401</v>
      </c>
    </row>
    <row r="53" spans="2:9" x14ac:dyDescent="0.25">
      <c r="B53" s="452">
        <v>42339</v>
      </c>
      <c r="C53" s="51">
        <f>VLOOKUP($B53,'Tabla 3'!$B$4:$I$20,3,FALSE)</f>
        <v>179778</v>
      </c>
      <c r="D53" s="51">
        <f>VLOOKUP($B53,'Tabla 3'!$B$4:$I$20,5,FALSE)</f>
        <v>65127</v>
      </c>
      <c r="E53" s="51">
        <f>VLOOKUP($B53,'Tabla 3'!$B$4:$I$20,2,FALSE)</f>
        <v>399514</v>
      </c>
      <c r="F53" s="51">
        <f>VLOOKUP($B53,'Tabla 3'!$B$4:$I$20,4,FALSE)</f>
        <v>686489</v>
      </c>
      <c r="G53" s="440"/>
      <c r="H53" s="453">
        <f t="shared" si="0"/>
        <v>244905</v>
      </c>
      <c r="I53" s="453">
        <f t="shared" si="1"/>
        <v>1086003</v>
      </c>
    </row>
    <row r="54" spans="2:9" x14ac:dyDescent="0.25">
      <c r="B54" s="452">
        <v>42705</v>
      </c>
      <c r="C54" s="51">
        <f>VLOOKUP($B54,'Tabla 3'!$B$4:$I$20,3,FALSE)</f>
        <v>181321</v>
      </c>
      <c r="D54" s="51">
        <f>VLOOKUP($B54,'Tabla 3'!$B$4:$I$20,5,FALSE)</f>
        <v>64883</v>
      </c>
      <c r="E54" s="51">
        <f>VLOOKUP($B54,'Tabla 3'!$B$4:$I$20,2,FALSE)</f>
        <v>398651</v>
      </c>
      <c r="F54" s="51">
        <f>VLOOKUP($B54,'Tabla 3'!$B$4:$I$20,4,FALSE)</f>
        <v>725754</v>
      </c>
      <c r="G54" s="440"/>
      <c r="H54" s="453">
        <f t="shared" si="0"/>
        <v>246204</v>
      </c>
      <c r="I54" s="453">
        <f t="shared" si="1"/>
        <v>1124405</v>
      </c>
    </row>
    <row r="55" spans="2:9" x14ac:dyDescent="0.25">
      <c r="B55" s="452">
        <v>43070</v>
      </c>
      <c r="C55" s="51">
        <f>VLOOKUP($B55,'Tabla 3'!$B$4:$I$20,3,FALSE)</f>
        <v>182304</v>
      </c>
      <c r="D55" s="51">
        <f>VLOOKUP($B55,'Tabla 3'!$B$4:$I$20,5,FALSE)</f>
        <v>64441</v>
      </c>
      <c r="E55" s="51">
        <f>VLOOKUP($B55,'Tabla 3'!$B$4:$I$20,2,FALSE)</f>
        <v>399510</v>
      </c>
      <c r="F55" s="51">
        <f>VLOOKUP($B55,'Tabla 3'!$B$4:$I$20,4,FALSE)</f>
        <v>774083</v>
      </c>
      <c r="G55" s="440"/>
      <c r="H55" s="453">
        <f t="shared" si="0"/>
        <v>246745</v>
      </c>
      <c r="I55" s="453">
        <f t="shared" si="1"/>
        <v>1173593</v>
      </c>
    </row>
    <row r="56" spans="2:9" x14ac:dyDescent="0.25">
      <c r="B56" s="452">
        <v>43435</v>
      </c>
      <c r="C56" s="51">
        <f>VLOOKUP($B56,'Tabla 3'!$B$4:$I$20,3,FALSE)</f>
        <v>182911</v>
      </c>
      <c r="D56" s="51">
        <f>VLOOKUP($B56,'Tabla 3'!$B$4:$I$20,5,FALSE)</f>
        <v>66902</v>
      </c>
      <c r="E56" s="51">
        <f>VLOOKUP($B56,'Tabla 3'!$B$4:$I$20,2,FALSE)</f>
        <v>404348</v>
      </c>
      <c r="F56" s="51">
        <f>VLOOKUP($B56,'Tabla 3'!$B$4:$I$20,4,FALSE)</f>
        <v>853431</v>
      </c>
      <c r="G56" s="440"/>
      <c r="H56" s="453">
        <f t="shared" si="0"/>
        <v>249813</v>
      </c>
      <c r="I56" s="453">
        <f t="shared" si="1"/>
        <v>1257779</v>
      </c>
    </row>
    <row r="57" spans="2:9" x14ac:dyDescent="0.25">
      <c r="B57" s="452">
        <v>43800</v>
      </c>
      <c r="C57" s="51">
        <f>VLOOKUP($B57,'Tabla 3'!$B$4:$I$20,3,FALSE)</f>
        <v>181957</v>
      </c>
      <c r="D57" s="51">
        <f>VLOOKUP($B57,'Tabla 3'!$B$4:$I$20,5,FALSE)</f>
        <v>68332</v>
      </c>
      <c r="E57" s="51">
        <f>VLOOKUP($B57,'Tabla 3'!$B$4:$I$20,2,FALSE)</f>
        <v>407066</v>
      </c>
      <c r="F57" s="51">
        <f>VLOOKUP($B57,'Tabla 3'!$B$4:$I$20,4,FALSE)</f>
        <v>914029</v>
      </c>
      <c r="G57" s="440"/>
      <c r="H57" s="453">
        <f t="shared" si="0"/>
        <v>250289</v>
      </c>
      <c r="I57" s="453">
        <f>E57+F57+G57</f>
        <v>1321095</v>
      </c>
    </row>
    <row r="58" spans="2:9" x14ac:dyDescent="0.25">
      <c r="B58" s="452">
        <v>44166</v>
      </c>
      <c r="C58" s="51">
        <f>VLOOKUP($B58,'Tabla 3'!$B$4:$I$20,3,FALSE)</f>
        <v>181176</v>
      </c>
      <c r="D58" s="51">
        <f>VLOOKUP($B58,'Tabla 3'!$B$4:$I$20,5,FALSE)</f>
        <v>72694</v>
      </c>
      <c r="E58" s="51">
        <f>VLOOKUP($B58,'Tabla 3'!$B$4:$I$20,2,FALSE)</f>
        <v>407108</v>
      </c>
      <c r="F58" s="51">
        <f>VLOOKUP($B58,'Tabla 3'!$B$4:$I$20,4,FALSE)</f>
        <v>1034956</v>
      </c>
      <c r="G58" s="440"/>
      <c r="H58" s="453">
        <f>C58+D58</f>
        <v>253870</v>
      </c>
      <c r="I58" s="453">
        <f t="shared" si="1"/>
        <v>1442064</v>
      </c>
    </row>
    <row r="59" spans="2:9" x14ac:dyDescent="0.25">
      <c r="B59" s="50">
        <v>44531</v>
      </c>
      <c r="C59" s="51">
        <f>VLOOKUP($B59,'Tabla 3'!$B$4:$I$20,3,FALSE)</f>
        <v>182087</v>
      </c>
      <c r="D59" s="51">
        <f>VLOOKUP($B59,'Tabla 3'!$B$4:$I$20,5,FALSE)</f>
        <v>84750</v>
      </c>
      <c r="E59" s="51">
        <f>VLOOKUP($B59,'Tabla 3'!$B$4:$I$20,2,FALSE)</f>
        <v>413523</v>
      </c>
      <c r="F59" s="51">
        <f>VLOOKUP($B59,'Tabla 3'!$B$4:$I$20,4,FALSE)</f>
        <v>1147603</v>
      </c>
      <c r="G59" s="440"/>
      <c r="H59" s="453">
        <f t="shared" si="0"/>
        <v>266837</v>
      </c>
      <c r="I59" s="453">
        <f t="shared" si="1"/>
        <v>1561126</v>
      </c>
    </row>
    <row r="60" spans="2:9" x14ac:dyDescent="0.25">
      <c r="B60" s="50">
        <v>44896</v>
      </c>
      <c r="C60" s="51">
        <f>VLOOKUP($B60,'Tabla 3'!$B$4:$I$20,3,FALSE)</f>
        <v>185584</v>
      </c>
      <c r="D60" s="51">
        <f>VLOOKUP($B60,'Tabla 3'!$B$4:$I$20,5,FALSE)</f>
        <v>92698</v>
      </c>
      <c r="E60" s="51"/>
      <c r="F60" s="51">
        <f>VLOOKUP($B60,'Tabla 3'!$B$4:$I$20,4,FALSE)</f>
        <v>172179</v>
      </c>
      <c r="G60" s="440">
        <f>VLOOKUP($B60,'Tabla 3'!$B$4:$I$20,7,FALSE)</f>
        <v>1767717</v>
      </c>
      <c r="H60" s="453">
        <f t="shared" si="0"/>
        <v>278282</v>
      </c>
      <c r="I60" s="453">
        <f t="shared" si="1"/>
        <v>1939896</v>
      </c>
    </row>
    <row r="61" spans="2:9" x14ac:dyDescent="0.25">
      <c r="B61" s="50">
        <v>45261</v>
      </c>
      <c r="C61" s="51">
        <f>VLOOKUP($B61,'Tabla 3'!$B$4:$I$20,3,FALSE)</f>
        <v>192805</v>
      </c>
      <c r="D61" s="51">
        <f>VLOOKUP($B61,'Tabla 3'!$B$4:$I$20,5,FALSE)</f>
        <v>97569</v>
      </c>
      <c r="E61" s="51"/>
      <c r="F61" s="51">
        <f>VLOOKUP($B61,'Tabla 3'!$B$4:$I$20,4,FALSE)</f>
        <v>166187</v>
      </c>
      <c r="G61" s="440">
        <f>VLOOKUP($B61,'Tabla 3'!$B$4:$I$20,7,FALSE)</f>
        <v>1980698</v>
      </c>
      <c r="H61" s="453">
        <f t="shared" si="0"/>
        <v>290374</v>
      </c>
      <c r="I61" s="453">
        <f t="shared" si="1"/>
        <v>2146885</v>
      </c>
    </row>
    <row r="62" spans="2:9" x14ac:dyDescent="0.25">
      <c r="B62" s="50">
        <v>45627</v>
      </c>
      <c r="C62" s="51">
        <f>VLOOKUP($B62,'Tabla 3'!$B$4:$I$20,3,FALSE)</f>
        <v>200026</v>
      </c>
      <c r="D62" s="51">
        <f>VLOOKUP($B62,'Tabla 3'!$B$4:$I$20,5,FALSE)</f>
        <v>100480</v>
      </c>
      <c r="E62" s="51"/>
      <c r="F62" s="51">
        <f>VLOOKUP($B62,'Tabla 3'!$B$4:$I$20,4,FALSE)</f>
        <v>159353</v>
      </c>
      <c r="G62" s="440">
        <f>VLOOKUP($B62,'Tabla 3'!$B$4:$I$20,7,FALSE)</f>
        <v>2115774</v>
      </c>
      <c r="H62" s="453">
        <f t="shared" si="0"/>
        <v>300506</v>
      </c>
      <c r="I62" s="453">
        <f t="shared" si="1"/>
        <v>2275127</v>
      </c>
    </row>
    <row r="63" spans="2:9" x14ac:dyDescent="0.25">
      <c r="B63" s="50">
        <v>45992</v>
      </c>
      <c r="C63" s="51">
        <f>VLOOKUP($B63,'Tabla 3'!$B$4:$I$21,3,FALSE)</f>
        <v>204470</v>
      </c>
      <c r="D63" s="51">
        <f>VLOOKUP($B63,'Tabla 3'!$B$4:$I$21,5,FALSE)</f>
        <v>104699</v>
      </c>
      <c r="E63" s="51"/>
      <c r="F63" s="51">
        <f>VLOOKUP($B63,'Tabla 3'!$B$4:$I$21,4,FALSE)</f>
        <v>153457</v>
      </c>
      <c r="G63" s="440">
        <f>VLOOKUP($B63,'Tabla 3'!$B$4:$I$21,7,FALSE)</f>
        <v>2243121</v>
      </c>
      <c r="H63" s="453">
        <f t="shared" ref="H63" si="2">C63+D63</f>
        <v>309169</v>
      </c>
      <c r="I63" s="453">
        <f t="shared" ref="I63" si="3">E63+F63+G63</f>
        <v>2396578</v>
      </c>
    </row>
  </sheetData>
  <mergeCells count="3">
    <mergeCell ref="B4:E18"/>
    <mergeCell ref="F4:I18"/>
    <mergeCell ref="C33:G3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1E4FB-22FE-4B50-B04A-A69B024A5A75}">
  <sheetPr>
    <tabColor rgb="FF009999"/>
  </sheetPr>
  <dimension ref="B2:O31"/>
  <sheetViews>
    <sheetView showGridLines="0" zoomScale="115" zoomScaleNormal="115" workbookViewId="0">
      <selection activeCell="M25" sqref="M25"/>
    </sheetView>
    <sheetView workbookViewId="1"/>
  </sheetViews>
  <sheetFormatPr baseColWidth="10" defaultRowHeight="15" x14ac:dyDescent="0.25"/>
  <cols>
    <col min="1" max="1" width="3.28515625" customWidth="1"/>
    <col min="11" max="11" width="13" bestFit="1" customWidth="1"/>
  </cols>
  <sheetData>
    <row r="2" spans="2:15" x14ac:dyDescent="0.25">
      <c r="B2" s="509" t="s">
        <v>155</v>
      </c>
      <c r="C2" s="510"/>
      <c r="D2" s="510"/>
      <c r="E2" s="510"/>
      <c r="F2" s="510"/>
      <c r="G2" s="510"/>
      <c r="H2" s="510"/>
      <c r="I2" s="510"/>
      <c r="J2" s="510"/>
      <c r="K2" s="510"/>
      <c r="L2" s="510"/>
      <c r="M2" s="510"/>
    </row>
    <row r="3" spans="2:15" ht="20.25" customHeight="1" x14ac:dyDescent="0.25">
      <c r="B3" s="513" t="s">
        <v>6</v>
      </c>
      <c r="C3" s="511" t="s">
        <v>90</v>
      </c>
      <c r="D3" s="511"/>
      <c r="E3" s="511"/>
      <c r="F3" s="511" t="s">
        <v>91</v>
      </c>
      <c r="G3" s="511"/>
      <c r="H3" s="511"/>
      <c r="I3" s="511" t="s">
        <v>31</v>
      </c>
      <c r="J3" s="511"/>
      <c r="K3" s="511" t="s">
        <v>116</v>
      </c>
      <c r="L3" s="511" t="s">
        <v>117</v>
      </c>
      <c r="M3" s="40" t="s">
        <v>118</v>
      </c>
    </row>
    <row r="4" spans="2:15" x14ac:dyDescent="0.25">
      <c r="B4" s="513"/>
      <c r="C4" s="47" t="s">
        <v>5</v>
      </c>
      <c r="D4" s="47" t="s">
        <v>92</v>
      </c>
      <c r="E4" s="47" t="s">
        <v>93</v>
      </c>
      <c r="F4" s="47" t="s">
        <v>94</v>
      </c>
      <c r="G4" s="47" t="s">
        <v>95</v>
      </c>
      <c r="H4" s="47" t="s">
        <v>96</v>
      </c>
      <c r="I4" s="47" t="s">
        <v>95</v>
      </c>
      <c r="J4" s="47" t="s">
        <v>96</v>
      </c>
      <c r="K4" s="511"/>
      <c r="L4" s="511"/>
      <c r="M4" s="40" t="s">
        <v>119</v>
      </c>
    </row>
    <row r="5" spans="2:15" x14ac:dyDescent="0.25">
      <c r="B5" s="513"/>
      <c r="C5" s="512" t="s">
        <v>120</v>
      </c>
      <c r="D5" s="512"/>
      <c r="E5" s="512"/>
      <c r="F5" s="512" t="s">
        <v>121</v>
      </c>
      <c r="G5" s="512"/>
      <c r="H5" s="512"/>
      <c r="I5" s="512" t="s">
        <v>97</v>
      </c>
      <c r="J5" s="512"/>
      <c r="K5" s="512" t="s">
        <v>122</v>
      </c>
      <c r="L5" s="512"/>
      <c r="M5" s="48" t="s">
        <v>123</v>
      </c>
    </row>
    <row r="6" spans="2:15" x14ac:dyDescent="0.25">
      <c r="B6" s="513"/>
      <c r="C6" s="508">
        <v>1</v>
      </c>
      <c r="D6" s="508">
        <v>2</v>
      </c>
      <c r="E6" s="508">
        <v>3</v>
      </c>
      <c r="F6" s="508">
        <v>4</v>
      </c>
      <c r="G6" s="508">
        <v>5</v>
      </c>
      <c r="H6" s="508">
        <v>6</v>
      </c>
      <c r="I6" s="36">
        <v>7</v>
      </c>
      <c r="J6" s="36">
        <v>8</v>
      </c>
      <c r="K6" s="508">
        <v>9</v>
      </c>
      <c r="L6" s="508">
        <v>10</v>
      </c>
      <c r="M6" s="36">
        <v>11</v>
      </c>
    </row>
    <row r="7" spans="2:15" x14ac:dyDescent="0.25">
      <c r="B7" s="513"/>
      <c r="C7" s="508"/>
      <c r="D7" s="508"/>
      <c r="E7" s="508"/>
      <c r="F7" s="508"/>
      <c r="G7" s="508"/>
      <c r="H7" s="508"/>
      <c r="I7" s="36" t="s">
        <v>124</v>
      </c>
      <c r="J7" s="36" t="s">
        <v>125</v>
      </c>
      <c r="K7" s="508"/>
      <c r="L7" s="508"/>
      <c r="M7" s="36" t="s">
        <v>126</v>
      </c>
    </row>
    <row r="8" spans="2:15" x14ac:dyDescent="0.25">
      <c r="B8" s="34">
        <v>2008</v>
      </c>
      <c r="C8" s="33">
        <v>16923784</v>
      </c>
      <c r="D8" s="33">
        <v>10662805</v>
      </c>
      <c r="E8" s="49">
        <v>1642740</v>
      </c>
      <c r="F8" s="419">
        <v>558081</v>
      </c>
      <c r="G8" s="33">
        <v>195151</v>
      </c>
      <c r="H8" s="33">
        <v>362930</v>
      </c>
      <c r="I8" s="35">
        <f t="shared" ref="I8:I24" si="0">+G8/D8</f>
        <v>1.8302032157579549E-2</v>
      </c>
      <c r="J8" s="37">
        <f t="shared" ref="J8:J24" si="1">+H8/E8</f>
        <v>0.22092966628924846</v>
      </c>
      <c r="K8" s="73">
        <f>'AUX PIB'!D5</f>
        <v>93867121.297655493</v>
      </c>
      <c r="L8" s="73">
        <f>'Tabla 7'!K4</f>
        <v>188962.6578955822</v>
      </c>
      <c r="M8" s="418">
        <f t="shared" ref="M8:M24" si="2">+L8/K8</f>
        <v>2.0130867473433628E-3</v>
      </c>
    </row>
    <row r="9" spans="2:15" x14ac:dyDescent="0.25">
      <c r="B9" s="34">
        <v>2009</v>
      </c>
      <c r="C9" s="49">
        <v>17095677</v>
      </c>
      <c r="D9" s="49">
        <v>10833362</v>
      </c>
      <c r="E9" s="49">
        <v>1692215</v>
      </c>
      <c r="F9" s="419">
        <v>857777</v>
      </c>
      <c r="G9" s="33">
        <v>220971</v>
      </c>
      <c r="H9" s="33">
        <v>636806</v>
      </c>
      <c r="I9" s="35">
        <f t="shared" si="0"/>
        <v>2.0397269102610992E-2</v>
      </c>
      <c r="J9" s="37">
        <f t="shared" si="1"/>
        <v>0.37631506634795225</v>
      </c>
      <c r="K9" s="73">
        <f>'AUX PIB'!D6</f>
        <v>96138477.277419999</v>
      </c>
      <c r="L9" s="73">
        <f>'Tabla 7'!K5</f>
        <v>526597.78027039114</v>
      </c>
      <c r="M9" s="418">
        <f t="shared" si="2"/>
        <v>5.4774924170145241E-3</v>
      </c>
    </row>
    <row r="10" spans="2:15" x14ac:dyDescent="0.25">
      <c r="B10" s="34">
        <v>2010</v>
      </c>
      <c r="C10" s="49">
        <v>17267251</v>
      </c>
      <c r="D10" s="49">
        <v>10995274</v>
      </c>
      <c r="E10" s="49">
        <v>1743275</v>
      </c>
      <c r="F10" s="419">
        <v>1011095</v>
      </c>
      <c r="G10" s="33">
        <v>233761</v>
      </c>
      <c r="H10" s="33">
        <v>777334</v>
      </c>
      <c r="I10" s="35">
        <f t="shared" si="0"/>
        <v>2.1260134126716623E-2</v>
      </c>
      <c r="J10" s="37">
        <f t="shared" si="1"/>
        <v>0.44590440406705767</v>
      </c>
      <c r="K10" s="73">
        <f>'AUX PIB'!D7</f>
        <v>110777866.879136</v>
      </c>
      <c r="L10" s="73">
        <f>'Tabla 7'!K6</f>
        <v>704977.68700147187</v>
      </c>
      <c r="M10" s="418">
        <f t="shared" si="2"/>
        <v>6.3638857369463214E-3</v>
      </c>
    </row>
    <row r="11" spans="2:15" x14ac:dyDescent="0.25">
      <c r="B11" s="34">
        <v>2011</v>
      </c>
      <c r="C11" s="49">
        <v>17436380</v>
      </c>
      <c r="D11" s="49">
        <v>11149529</v>
      </c>
      <c r="E11" s="49">
        <v>1797710</v>
      </c>
      <c r="F11" s="419">
        <v>1081612</v>
      </c>
      <c r="G11" s="33">
        <v>239705</v>
      </c>
      <c r="H11" s="33">
        <v>841907</v>
      </c>
      <c r="I11" s="35">
        <f t="shared" si="0"/>
        <v>2.1499114446897262E-2</v>
      </c>
      <c r="J11" s="37">
        <f t="shared" si="1"/>
        <v>0.46832192066573586</v>
      </c>
      <c r="K11" s="73">
        <f>'AUX PIB'!D8</f>
        <v>121509298.514008</v>
      </c>
      <c r="L11" s="73">
        <f>'Tabla 7'!K7</f>
        <v>817888.17391981767</v>
      </c>
      <c r="M11" s="418">
        <f t="shared" si="2"/>
        <v>6.7310747730596832E-3</v>
      </c>
    </row>
    <row r="12" spans="2:15" x14ac:dyDescent="0.25">
      <c r="B12" s="34">
        <v>2012</v>
      </c>
      <c r="C12" s="49">
        <v>17601858</v>
      </c>
      <c r="D12" s="49">
        <v>11294363</v>
      </c>
      <c r="E12" s="49">
        <v>1855725</v>
      </c>
      <c r="F12" s="419">
        <v>1181029</v>
      </c>
      <c r="G12" s="33">
        <v>235018</v>
      </c>
      <c r="H12" s="33">
        <v>946011</v>
      </c>
      <c r="I12" s="35">
        <f t="shared" si="0"/>
        <v>2.0808433375127045E-2</v>
      </c>
      <c r="J12" s="37">
        <f t="shared" si="1"/>
        <v>0.50977973568281942</v>
      </c>
      <c r="K12" s="73">
        <f>'AUX PIB'!D9</f>
        <v>129973394.04323401</v>
      </c>
      <c r="L12" s="73">
        <f>'Tabla 7'!K8</f>
        <v>908810.74398110062</v>
      </c>
      <c r="M12" s="418">
        <f t="shared" si="2"/>
        <v>6.992282925833238E-3</v>
      </c>
      <c r="O12" s="477"/>
    </row>
    <row r="13" spans="2:15" x14ac:dyDescent="0.25">
      <c r="B13" s="34">
        <v>2013</v>
      </c>
      <c r="C13" s="49">
        <v>17772155</v>
      </c>
      <c r="D13" s="49">
        <v>11435018</v>
      </c>
      <c r="E13" s="49">
        <v>1921779</v>
      </c>
      <c r="F13" s="419">
        <v>1228908</v>
      </c>
      <c r="G13" s="33">
        <v>241257</v>
      </c>
      <c r="H13" s="33">
        <v>987651</v>
      </c>
      <c r="I13" s="35">
        <f t="shared" si="0"/>
        <v>2.1098086596802908E-2</v>
      </c>
      <c r="J13" s="37">
        <f t="shared" si="1"/>
        <v>0.51392537851646836</v>
      </c>
      <c r="K13" s="73">
        <f>'AUX PIB'!D10</f>
        <v>137309192.012458</v>
      </c>
      <c r="L13" s="73">
        <f>'Tabla 7'!K9</f>
        <v>964107.41248715599</v>
      </c>
      <c r="M13" s="418">
        <f t="shared" si="2"/>
        <v>7.0214338774907585E-3</v>
      </c>
      <c r="O13" s="377"/>
    </row>
    <row r="14" spans="2:15" x14ac:dyDescent="0.25">
      <c r="B14" s="34">
        <v>2014</v>
      </c>
      <c r="C14" s="49">
        <v>17956235</v>
      </c>
      <c r="D14" s="49">
        <v>11576957</v>
      </c>
      <c r="E14" s="49">
        <v>1992115</v>
      </c>
      <c r="F14" s="419">
        <v>1281628</v>
      </c>
      <c r="G14" s="33">
        <v>244227</v>
      </c>
      <c r="H14" s="33">
        <v>1037401</v>
      </c>
      <c r="I14" s="35">
        <f t="shared" si="0"/>
        <v>2.1095958117491497E-2</v>
      </c>
      <c r="J14" s="37">
        <f t="shared" si="1"/>
        <v>0.52075357095348407</v>
      </c>
      <c r="K14" s="73">
        <f>'AUX PIB'!D11</f>
        <v>147951290.035925</v>
      </c>
      <c r="L14" s="73">
        <f>'Tabla 7'!K10</f>
        <v>1032676.0080873407</v>
      </c>
      <c r="M14" s="418">
        <f t="shared" si="2"/>
        <v>6.979837809028837E-3</v>
      </c>
    </row>
    <row r="15" spans="2:15" x14ac:dyDescent="0.25">
      <c r="B15" s="34">
        <v>2015</v>
      </c>
      <c r="C15" s="49">
        <v>18139016</v>
      </c>
      <c r="D15" s="49">
        <v>11706922</v>
      </c>
      <c r="E15" s="49">
        <v>2068477</v>
      </c>
      <c r="F15" s="419">
        <v>1330908</v>
      </c>
      <c r="G15" s="33">
        <v>244905</v>
      </c>
      <c r="H15" s="33">
        <v>1086003</v>
      </c>
      <c r="I15" s="35">
        <f t="shared" si="0"/>
        <v>2.0919674701855875E-2</v>
      </c>
      <c r="J15" s="37">
        <f t="shared" si="1"/>
        <v>0.5250254172514367</v>
      </c>
      <c r="K15" s="73">
        <f>'AUX PIB'!D12</f>
        <v>158622902.85196802</v>
      </c>
      <c r="L15" s="73">
        <f>'Tabla 7'!K11</f>
        <v>1121452.3527994342</v>
      </c>
      <c r="M15" s="418">
        <f t="shared" si="2"/>
        <v>7.0699270574187479E-3</v>
      </c>
    </row>
    <row r="16" spans="2:15" x14ac:dyDescent="0.25">
      <c r="B16" s="34">
        <v>2016</v>
      </c>
      <c r="C16" s="49">
        <v>18395427</v>
      </c>
      <c r="D16" s="49">
        <v>11893991</v>
      </c>
      <c r="E16" s="49">
        <v>2149387</v>
      </c>
      <c r="F16" s="419">
        <v>1370609</v>
      </c>
      <c r="G16" s="33">
        <v>246204</v>
      </c>
      <c r="H16" s="33">
        <v>1124405</v>
      </c>
      <c r="I16" s="35">
        <f t="shared" si="0"/>
        <v>2.069986432644854E-2</v>
      </c>
      <c r="J16" s="37">
        <f t="shared" si="1"/>
        <v>0.52312822213961474</v>
      </c>
      <c r="K16" s="73">
        <f>'AUX PIB'!D13</f>
        <v>168764687.91664401</v>
      </c>
      <c r="L16" s="73">
        <f>'Tabla 7'!K12</f>
        <v>1209680.9911610235</v>
      </c>
      <c r="M16" s="418">
        <f t="shared" si="2"/>
        <v>7.1678560609699776E-3</v>
      </c>
    </row>
    <row r="17" spans="2:14" x14ac:dyDescent="0.25">
      <c r="B17" s="34">
        <v>2017</v>
      </c>
      <c r="C17" s="49">
        <v>18722308</v>
      </c>
      <c r="D17" s="49">
        <v>12140605</v>
      </c>
      <c r="E17" s="49">
        <v>2235362</v>
      </c>
      <c r="F17" s="419">
        <v>1420338</v>
      </c>
      <c r="G17" s="33">
        <v>246745</v>
      </c>
      <c r="H17" s="33">
        <v>1173593</v>
      </c>
      <c r="I17" s="35">
        <f t="shared" si="0"/>
        <v>2.0323945964801589E-2</v>
      </c>
      <c r="J17" s="37">
        <f t="shared" si="1"/>
        <v>0.52501250356765483</v>
      </c>
      <c r="K17" s="73">
        <f>'AUX PIB'!D14</f>
        <v>179314910.10605401</v>
      </c>
      <c r="L17" s="73">
        <f>'Tabla 7'!K13</f>
        <v>1411384.3071861851</v>
      </c>
      <c r="M17" s="418">
        <f t="shared" si="2"/>
        <v>7.8709813163413793E-3</v>
      </c>
    </row>
    <row r="18" spans="2:14" x14ac:dyDescent="0.25">
      <c r="B18" s="34">
        <v>2018</v>
      </c>
      <c r="C18" s="49">
        <v>19064074</v>
      </c>
      <c r="D18" s="49">
        <v>12396338</v>
      </c>
      <c r="E18" s="49">
        <v>2323058</v>
      </c>
      <c r="F18" s="419">
        <v>1507592</v>
      </c>
      <c r="G18" s="33">
        <v>249813</v>
      </c>
      <c r="H18" s="33">
        <v>1257779</v>
      </c>
      <c r="I18" s="35">
        <f t="shared" si="0"/>
        <v>2.0152161065630832E-2</v>
      </c>
      <c r="J18" s="37">
        <f t="shared" si="1"/>
        <v>0.54143245670146845</v>
      </c>
      <c r="K18" s="73">
        <f>'AUX PIB'!D15</f>
        <v>189434867.40996501</v>
      </c>
      <c r="L18" s="73">
        <f>'Tabla 7'!K14</f>
        <v>1517183.0395018132</v>
      </c>
      <c r="M18" s="418">
        <f t="shared" si="2"/>
        <v>8.0089957052014368E-3</v>
      </c>
      <c r="N18" s="22"/>
    </row>
    <row r="19" spans="2:14" x14ac:dyDescent="0.25">
      <c r="B19" s="34">
        <v>2019</v>
      </c>
      <c r="C19" s="49">
        <v>19331414</v>
      </c>
      <c r="D19" s="49">
        <v>12598705</v>
      </c>
      <c r="E19" s="49">
        <v>2409593</v>
      </c>
      <c r="F19" s="419">
        <v>1571384</v>
      </c>
      <c r="G19" s="33">
        <v>250289</v>
      </c>
      <c r="H19" s="33">
        <v>1321095</v>
      </c>
      <c r="I19" s="35">
        <f t="shared" si="0"/>
        <v>1.9866248158044816E-2</v>
      </c>
      <c r="J19" s="37">
        <f t="shared" si="1"/>
        <v>0.54826478994585393</v>
      </c>
      <c r="K19" s="73">
        <f>'AUX PIB'!D16</f>
        <v>195531722.450804</v>
      </c>
      <c r="L19" s="73">
        <f>'Tabla 7'!K15</f>
        <v>1688963.3767508951</v>
      </c>
      <c r="M19" s="418">
        <f t="shared" si="2"/>
        <v>8.6377972616481207E-3</v>
      </c>
    </row>
    <row r="20" spans="2:14" x14ac:dyDescent="0.25">
      <c r="B20" s="34">
        <v>2020</v>
      </c>
      <c r="C20" s="49">
        <v>19409834</v>
      </c>
      <c r="D20" s="49">
        <v>12659128</v>
      </c>
      <c r="E20" s="49">
        <v>2482193</v>
      </c>
      <c r="F20" s="419">
        <v>1695939</v>
      </c>
      <c r="G20" s="33">
        <v>253870</v>
      </c>
      <c r="H20" s="33">
        <v>1442069</v>
      </c>
      <c r="I20" s="35">
        <f t="shared" si="0"/>
        <v>2.0054303898341182E-2</v>
      </c>
      <c r="J20" s="37">
        <f t="shared" si="1"/>
        <v>0.58096570250580837</v>
      </c>
      <c r="K20" s="73">
        <f>'AUX PIB'!D17</f>
        <v>201257745.10728502</v>
      </c>
      <c r="L20" s="73">
        <f>'Tabla 7'!K16</f>
        <v>2439042.6019616928</v>
      </c>
      <c r="M20" s="418">
        <f t="shared" si="2"/>
        <v>1.2118999945376043E-2</v>
      </c>
    </row>
    <row r="21" spans="2:14" x14ac:dyDescent="0.25">
      <c r="B21" s="34">
        <v>2021</v>
      </c>
      <c r="C21" s="49">
        <v>19502834</v>
      </c>
      <c r="D21" s="49">
        <v>12734619</v>
      </c>
      <c r="E21" s="49">
        <v>2559501</v>
      </c>
      <c r="F21" s="419">
        <v>1827978</v>
      </c>
      <c r="G21" s="33">
        <v>266837</v>
      </c>
      <c r="H21" s="33">
        <v>1561141</v>
      </c>
      <c r="I21" s="35">
        <f t="shared" si="0"/>
        <v>2.0953669677907127E-2</v>
      </c>
      <c r="J21" s="37">
        <f t="shared" si="1"/>
        <v>0.60993959369423967</v>
      </c>
      <c r="K21" s="73">
        <f>'AUX PIB'!D18</f>
        <v>239418123.71834502</v>
      </c>
      <c r="L21" s="73">
        <f>'Tabla 7'!K17</f>
        <v>2977165.4138910905</v>
      </c>
      <c r="M21" s="418">
        <f t="shared" si="2"/>
        <v>1.2435004366642985E-2</v>
      </c>
    </row>
    <row r="22" spans="2:14" x14ac:dyDescent="0.25">
      <c r="B22" s="34">
        <v>2022</v>
      </c>
      <c r="C22" s="33">
        <v>19603239</v>
      </c>
      <c r="D22" s="49">
        <v>12796302</v>
      </c>
      <c r="E22" s="49">
        <v>2641638</v>
      </c>
      <c r="F22" s="419">
        <v>2218178</v>
      </c>
      <c r="G22" s="33">
        <v>278282</v>
      </c>
      <c r="H22" s="33">
        <v>1939896</v>
      </c>
      <c r="I22" s="35">
        <f t="shared" si="0"/>
        <v>2.1747064112741323E-2</v>
      </c>
      <c r="J22" s="37">
        <f t="shared" si="1"/>
        <v>0.73435345796812435</v>
      </c>
      <c r="K22" s="73">
        <f>'AUX PIB'!D19</f>
        <v>263065442.82437903</v>
      </c>
      <c r="L22" s="73">
        <f>'Tabla 7'!K18</f>
        <v>4467770.1024326906</v>
      </c>
      <c r="M22" s="418">
        <f t="shared" si="2"/>
        <v>1.6983492983589442E-2</v>
      </c>
    </row>
    <row r="23" spans="2:14" x14ac:dyDescent="0.25">
      <c r="B23" s="34">
        <v>2023</v>
      </c>
      <c r="C23" s="33">
        <v>19714431</v>
      </c>
      <c r="D23" s="49">
        <v>12861082</v>
      </c>
      <c r="E23" s="49">
        <v>2742256</v>
      </c>
      <c r="F23" s="419">
        <v>2437259</v>
      </c>
      <c r="G23" s="33">
        <v>290374</v>
      </c>
      <c r="H23" s="33">
        <v>2146885</v>
      </c>
      <c r="I23" s="35">
        <f t="shared" si="0"/>
        <v>2.2577727130578904E-2</v>
      </c>
      <c r="J23" s="37">
        <f t="shared" si="1"/>
        <v>0.78289007299099722</v>
      </c>
      <c r="K23" s="73">
        <f>'AUX PIB'!D20</f>
        <v>281857486.45158297</v>
      </c>
      <c r="L23" s="73">
        <f>'Tabla 7'!K19</f>
        <v>5737028.005291908</v>
      </c>
      <c r="M23" s="418">
        <f t="shared" si="2"/>
        <v>2.0354357365197768E-2</v>
      </c>
      <c r="N23" s="464"/>
    </row>
    <row r="24" spans="2:14" x14ac:dyDescent="0.25">
      <c r="B24" s="34">
        <v>2024</v>
      </c>
      <c r="C24" s="33">
        <v>19815112</v>
      </c>
      <c r="D24" s="49">
        <v>12910863</v>
      </c>
      <c r="E24" s="49">
        <v>2845279</v>
      </c>
      <c r="F24" s="419">
        <v>2575633</v>
      </c>
      <c r="G24" s="33">
        <v>300506</v>
      </c>
      <c r="H24" s="33">
        <v>2275127</v>
      </c>
      <c r="I24" s="35">
        <f t="shared" si="0"/>
        <v>2.3275438675168344E-2</v>
      </c>
      <c r="J24" s="37">
        <f t="shared" si="1"/>
        <v>0.79961473022505003</v>
      </c>
      <c r="K24" s="73">
        <f>'AUX PIB'!D21</f>
        <v>311630878.49862504</v>
      </c>
      <c r="L24" s="73">
        <f>'Tabla 7'!K20</f>
        <v>6376267.4462259486</v>
      </c>
      <c r="M24" s="418">
        <f t="shared" si="2"/>
        <v>2.0460961625322637E-2</v>
      </c>
      <c r="N24" s="464"/>
    </row>
    <row r="25" spans="2:14" x14ac:dyDescent="0.25">
      <c r="B25" s="34">
        <v>2025</v>
      </c>
      <c r="C25" s="33">
        <v>19904730</v>
      </c>
      <c r="D25" s="49">
        <v>12956810</v>
      </c>
      <c r="E25" s="49">
        <v>2949745</v>
      </c>
      <c r="F25" s="419">
        <v>2705747</v>
      </c>
      <c r="G25" s="33">
        <v>309169</v>
      </c>
      <c r="H25" s="33">
        <v>2396578</v>
      </c>
      <c r="I25" s="35">
        <f t="shared" ref="I25" si="3">+G25/D25</f>
        <v>2.3861506034278498E-2</v>
      </c>
      <c r="J25" s="37">
        <f t="shared" ref="J25" si="4">+H25/E25</f>
        <v>0.81246955245283914</v>
      </c>
      <c r="K25" s="73">
        <f>'AUX PIB'!D22</f>
        <v>335481000</v>
      </c>
      <c r="L25" s="73">
        <f>'Tabla 7'!K21</f>
        <v>7061128.6584491106</v>
      </c>
      <c r="M25" s="418">
        <f t="shared" ref="M25" si="5">+L25/K25</f>
        <v>2.1047775159991507E-2</v>
      </c>
      <c r="N25" s="464"/>
    </row>
    <row r="26" spans="2:14" ht="21" customHeight="1" x14ac:dyDescent="0.25">
      <c r="B26" s="373" t="s">
        <v>690</v>
      </c>
      <c r="C26" s="308"/>
      <c r="D26" s="309"/>
      <c r="E26" s="309"/>
      <c r="F26" s="310"/>
      <c r="G26" s="308"/>
      <c r="H26" s="308"/>
      <c r="I26" s="311"/>
      <c r="J26" s="312"/>
      <c r="K26" s="313"/>
      <c r="L26" s="314"/>
      <c r="M26" s="311"/>
      <c r="N26" s="55"/>
    </row>
    <row r="27" spans="2:14" x14ac:dyDescent="0.25">
      <c r="B27" s="373" t="s">
        <v>691</v>
      </c>
      <c r="C27" s="315"/>
      <c r="D27" s="315"/>
      <c r="E27" s="315"/>
      <c r="F27" s="315"/>
      <c r="G27" s="315"/>
      <c r="H27" s="315"/>
      <c r="I27" s="315"/>
      <c r="J27" s="315"/>
      <c r="K27" s="315"/>
      <c r="L27" s="315"/>
      <c r="M27" s="315"/>
      <c r="N27" s="464"/>
    </row>
    <row r="28" spans="2:14" x14ac:dyDescent="0.25">
      <c r="B28" s="320" t="s">
        <v>578</v>
      </c>
      <c r="N28" s="464"/>
    </row>
    <row r="29" spans="2:14" x14ac:dyDescent="0.25">
      <c r="B29" s="320" t="s">
        <v>151</v>
      </c>
    </row>
    <row r="30" spans="2:14" x14ac:dyDescent="0.25">
      <c r="B30" s="320" t="s">
        <v>152</v>
      </c>
    </row>
    <row r="31" spans="2:14" x14ac:dyDescent="0.25">
      <c r="B31" s="320" t="s">
        <v>692</v>
      </c>
    </row>
  </sheetData>
  <mergeCells count="19">
    <mergeCell ref="B2:M2"/>
    <mergeCell ref="L3:L4"/>
    <mergeCell ref="C5:E5"/>
    <mergeCell ref="F5:H5"/>
    <mergeCell ref="I5:J5"/>
    <mergeCell ref="K5:L5"/>
    <mergeCell ref="B3:B7"/>
    <mergeCell ref="C3:E3"/>
    <mergeCell ref="F3:H3"/>
    <mergeCell ref="I3:J3"/>
    <mergeCell ref="K3:K4"/>
    <mergeCell ref="C6:C7"/>
    <mergeCell ref="D6:D7"/>
    <mergeCell ref="E6:E7"/>
    <mergeCell ref="F6:F7"/>
    <mergeCell ref="G6:G7"/>
    <mergeCell ref="H6:H7"/>
    <mergeCell ref="K6:K7"/>
    <mergeCell ref="L6:L7"/>
  </mergeCells>
  <hyperlinks>
    <hyperlink ref="B30" r:id="rId1" xr:uid="{02A54569-8460-45D3-B97D-1E6ADC5166A4}"/>
    <hyperlink ref="B29" r:id="rId2" xr:uid="{261B1C86-C004-46EE-AC66-DE4BFC6E4438}"/>
    <hyperlink ref="B28" r:id="rId3" xr:uid="{FD40D342-237D-4EF9-A0FC-9D2D9004C113}"/>
    <hyperlink ref="B31" r:id="rId4" xr:uid="{5E3A65A5-B44C-422C-B8A0-AA189E2956A5}"/>
  </hyperlinks>
  <pageMargins left="0.7" right="0.7" top="0.75" bottom="0.75" header="0.3" footer="0.3"/>
  <pageSetup orientation="portrait" r:id="rId5"/>
  <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6B77F-E28C-49EA-96A2-A3914A17DC94}">
  <sheetPr>
    <tabColor rgb="FFFFC000"/>
  </sheetPr>
  <dimension ref="B1:V45"/>
  <sheetViews>
    <sheetView showGridLines="0" zoomScale="90" zoomScaleNormal="90" workbookViewId="0"/>
    <sheetView workbookViewId="1"/>
  </sheetViews>
  <sheetFormatPr baseColWidth="10" defaultRowHeight="15" x14ac:dyDescent="0.25"/>
  <cols>
    <col min="1" max="1" width="7.5703125" customWidth="1"/>
  </cols>
  <sheetData>
    <row r="1" spans="2:17" ht="28.9" customHeight="1" x14ac:dyDescent="0.25"/>
    <row r="2" spans="2:17" x14ac:dyDescent="0.25">
      <c r="B2" s="593" t="s">
        <v>697</v>
      </c>
      <c r="C2" s="593"/>
      <c r="D2" s="593"/>
      <c r="E2" s="593"/>
      <c r="F2" s="593"/>
      <c r="G2" s="593"/>
      <c r="H2" s="593"/>
      <c r="I2" s="593"/>
      <c r="J2" s="593"/>
      <c r="K2" s="593"/>
      <c r="L2" s="593"/>
      <c r="M2" s="593"/>
      <c r="N2" s="594"/>
      <c r="O2" s="594"/>
      <c r="P2" s="594"/>
      <c r="Q2" s="594"/>
    </row>
    <row r="3" spans="2:17" ht="25.15" customHeight="1" x14ac:dyDescent="0.25"/>
    <row r="4" spans="2:17" x14ac:dyDescent="0.25">
      <c r="B4" s="588"/>
      <c r="C4" s="588"/>
      <c r="D4" s="588"/>
      <c r="E4" s="588"/>
      <c r="F4" s="588"/>
      <c r="G4" s="588"/>
      <c r="H4" s="588"/>
      <c r="I4" s="588"/>
      <c r="J4" s="588"/>
      <c r="K4" s="588"/>
      <c r="L4" s="588"/>
      <c r="M4" s="588"/>
      <c r="N4" s="588"/>
      <c r="O4" s="588"/>
      <c r="P4" s="588"/>
      <c r="Q4" s="588"/>
    </row>
    <row r="5" spans="2:17" x14ac:dyDescent="0.25">
      <c r="B5" s="588"/>
      <c r="C5" s="588"/>
      <c r="D5" s="588"/>
      <c r="E5" s="588"/>
      <c r="F5" s="588"/>
      <c r="G5" s="588"/>
      <c r="H5" s="588"/>
      <c r="I5" s="588"/>
      <c r="J5" s="588"/>
      <c r="K5" s="588"/>
      <c r="L5" s="588"/>
      <c r="M5" s="588"/>
      <c r="N5" s="588"/>
      <c r="O5" s="588"/>
      <c r="P5" s="588"/>
      <c r="Q5" s="588"/>
    </row>
    <row r="6" spans="2:17" x14ac:dyDescent="0.25">
      <c r="B6" s="588"/>
      <c r="C6" s="588"/>
      <c r="D6" s="588"/>
      <c r="E6" s="588"/>
      <c r="F6" s="588"/>
      <c r="G6" s="588"/>
      <c r="H6" s="588"/>
      <c r="I6" s="588"/>
      <c r="J6" s="588"/>
      <c r="K6" s="588"/>
      <c r="L6" s="588"/>
      <c r="M6" s="588"/>
      <c r="N6" s="588"/>
      <c r="O6" s="588"/>
      <c r="P6" s="588"/>
      <c r="Q6" s="588"/>
    </row>
    <row r="7" spans="2:17" x14ac:dyDescent="0.25">
      <c r="B7" s="588"/>
      <c r="C7" s="588"/>
      <c r="D7" s="588"/>
      <c r="E7" s="588"/>
      <c r="F7" s="588"/>
      <c r="G7" s="588"/>
      <c r="H7" s="588"/>
      <c r="I7" s="588"/>
      <c r="J7" s="588"/>
      <c r="K7" s="588"/>
      <c r="L7" s="588"/>
      <c r="M7" s="588"/>
      <c r="N7" s="588"/>
      <c r="O7" s="588"/>
      <c r="P7" s="588"/>
      <c r="Q7" s="588"/>
    </row>
    <row r="8" spans="2:17" x14ac:dyDescent="0.25">
      <c r="B8" s="588"/>
      <c r="C8" s="588"/>
      <c r="D8" s="588"/>
      <c r="E8" s="588"/>
      <c r="F8" s="588"/>
      <c r="G8" s="588"/>
      <c r="H8" s="588"/>
      <c r="I8" s="588"/>
      <c r="J8" s="588"/>
      <c r="K8" s="588"/>
      <c r="L8" s="588"/>
      <c r="M8" s="588"/>
      <c r="N8" s="588"/>
      <c r="O8" s="588"/>
      <c r="P8" s="588"/>
      <c r="Q8" s="588"/>
    </row>
    <row r="9" spans="2:17" x14ac:dyDescent="0.25">
      <c r="B9" s="588"/>
      <c r="C9" s="588"/>
      <c r="D9" s="588"/>
      <c r="E9" s="588"/>
      <c r="F9" s="588"/>
      <c r="G9" s="588"/>
      <c r="H9" s="588"/>
      <c r="I9" s="588"/>
      <c r="J9" s="588"/>
      <c r="K9" s="588"/>
      <c r="L9" s="588"/>
      <c r="M9" s="588"/>
      <c r="N9" s="588"/>
      <c r="O9" s="588"/>
      <c r="P9" s="588"/>
      <c r="Q9" s="588"/>
    </row>
    <row r="10" spans="2:17" x14ac:dyDescent="0.25">
      <c r="B10" s="588"/>
      <c r="C10" s="588"/>
      <c r="D10" s="588"/>
      <c r="E10" s="588"/>
      <c r="F10" s="588"/>
      <c r="G10" s="588"/>
      <c r="H10" s="588"/>
      <c r="I10" s="588"/>
      <c r="J10" s="588"/>
      <c r="K10" s="588"/>
      <c r="L10" s="588"/>
      <c r="M10" s="588"/>
      <c r="N10" s="588"/>
      <c r="O10" s="588"/>
      <c r="P10" s="588"/>
      <c r="Q10" s="588"/>
    </row>
    <row r="11" spans="2:17" x14ac:dyDescent="0.25">
      <c r="B11" s="588"/>
      <c r="C11" s="588"/>
      <c r="D11" s="588"/>
      <c r="E11" s="588"/>
      <c r="F11" s="588"/>
      <c r="G11" s="588"/>
      <c r="H11" s="588"/>
      <c r="I11" s="588"/>
      <c r="J11" s="588"/>
      <c r="K11" s="588"/>
      <c r="L11" s="588"/>
      <c r="M11" s="588"/>
      <c r="N11" s="588"/>
      <c r="O11" s="588"/>
      <c r="P11" s="588"/>
      <c r="Q11" s="588"/>
    </row>
    <row r="12" spans="2:17" x14ac:dyDescent="0.25">
      <c r="B12" s="588"/>
      <c r="C12" s="588"/>
      <c r="D12" s="588"/>
      <c r="E12" s="588"/>
      <c r="F12" s="588"/>
      <c r="G12" s="588"/>
      <c r="H12" s="588"/>
      <c r="I12" s="588"/>
      <c r="J12" s="588"/>
      <c r="K12" s="588"/>
      <c r="L12" s="588"/>
      <c r="M12" s="588"/>
      <c r="N12" s="588"/>
      <c r="O12" s="588"/>
      <c r="P12" s="588"/>
      <c r="Q12" s="588"/>
    </row>
    <row r="13" spans="2:17" x14ac:dyDescent="0.25">
      <c r="B13" s="588"/>
      <c r="C13" s="588"/>
      <c r="D13" s="588"/>
      <c r="E13" s="588"/>
      <c r="F13" s="588"/>
      <c r="G13" s="588"/>
      <c r="H13" s="588"/>
      <c r="I13" s="588"/>
      <c r="J13" s="588"/>
      <c r="K13" s="588"/>
      <c r="L13" s="588"/>
      <c r="M13" s="588"/>
      <c r="N13" s="588"/>
      <c r="O13" s="588"/>
      <c r="P13" s="588"/>
      <c r="Q13" s="588"/>
    </row>
    <row r="14" spans="2:17" x14ac:dyDescent="0.25">
      <c r="B14" s="588"/>
      <c r="C14" s="588"/>
      <c r="D14" s="588"/>
      <c r="E14" s="588"/>
      <c r="F14" s="588"/>
      <c r="G14" s="588"/>
      <c r="H14" s="588"/>
      <c r="I14" s="588"/>
      <c r="J14" s="588"/>
      <c r="K14" s="588"/>
      <c r="L14" s="588"/>
      <c r="M14" s="588"/>
      <c r="N14" s="588"/>
      <c r="O14" s="588"/>
      <c r="P14" s="588"/>
      <c r="Q14" s="588"/>
    </row>
    <row r="15" spans="2:17" x14ac:dyDescent="0.25">
      <c r="B15" s="588"/>
      <c r="C15" s="588"/>
      <c r="D15" s="588"/>
      <c r="E15" s="588"/>
      <c r="F15" s="588"/>
      <c r="G15" s="588"/>
      <c r="H15" s="588"/>
      <c r="I15" s="588"/>
      <c r="J15" s="588"/>
      <c r="K15" s="588"/>
      <c r="L15" s="588"/>
      <c r="M15" s="588"/>
      <c r="N15" s="588"/>
      <c r="O15" s="588"/>
      <c r="P15" s="588"/>
      <c r="Q15" s="588"/>
    </row>
    <row r="16" spans="2:17" x14ac:dyDescent="0.25">
      <c r="B16" s="588"/>
      <c r="C16" s="588"/>
      <c r="D16" s="588"/>
      <c r="E16" s="588"/>
      <c r="F16" s="588"/>
      <c r="G16" s="588"/>
      <c r="H16" s="588"/>
      <c r="I16" s="588"/>
      <c r="J16" s="588"/>
      <c r="K16" s="588"/>
      <c r="L16" s="588"/>
      <c r="M16" s="588"/>
      <c r="N16" s="588"/>
      <c r="O16" s="588"/>
      <c r="P16" s="588"/>
      <c r="Q16" s="588"/>
    </row>
    <row r="17" spans="2:17" x14ac:dyDescent="0.25">
      <c r="B17" s="588"/>
      <c r="C17" s="588"/>
      <c r="D17" s="588"/>
      <c r="E17" s="588"/>
      <c r="F17" s="588"/>
      <c r="G17" s="588"/>
      <c r="H17" s="588"/>
      <c r="I17" s="588"/>
      <c r="J17" s="588"/>
      <c r="K17" s="588"/>
      <c r="L17" s="588"/>
      <c r="M17" s="588"/>
      <c r="N17" s="588"/>
      <c r="O17" s="588"/>
      <c r="P17" s="588"/>
      <c r="Q17" s="588"/>
    </row>
    <row r="18" spans="2:17" x14ac:dyDescent="0.25">
      <c r="B18" s="588"/>
      <c r="C18" s="588"/>
      <c r="D18" s="588"/>
      <c r="E18" s="588"/>
      <c r="F18" s="588"/>
      <c r="G18" s="588"/>
      <c r="H18" s="588"/>
      <c r="I18" s="588"/>
      <c r="J18" s="588"/>
      <c r="K18" s="588"/>
      <c r="L18" s="588"/>
      <c r="M18" s="588"/>
      <c r="N18" s="588"/>
      <c r="O18" s="588"/>
      <c r="P18" s="588"/>
      <c r="Q18" s="588"/>
    </row>
    <row r="19" spans="2:17" x14ac:dyDescent="0.25">
      <c r="D19" s="54"/>
      <c r="E19" s="54"/>
      <c r="F19" s="54"/>
      <c r="G19" s="54"/>
      <c r="H19" s="54"/>
      <c r="I19" s="54"/>
      <c r="J19" s="54"/>
      <c r="K19" s="54"/>
      <c r="L19" s="54"/>
      <c r="M19" s="54"/>
    </row>
    <row r="22" spans="2:17" x14ac:dyDescent="0.25">
      <c r="C22" s="321" t="s">
        <v>680</v>
      </c>
    </row>
    <row r="25" spans="2:17" x14ac:dyDescent="0.25">
      <c r="B25" s="5"/>
      <c r="C25" s="7"/>
      <c r="D25" s="7"/>
      <c r="E25" s="7"/>
      <c r="F25" s="7"/>
    </row>
    <row r="26" spans="2:17" ht="15" customHeight="1" x14ac:dyDescent="0.25">
      <c r="B26" s="5"/>
      <c r="C26" s="595" t="s">
        <v>7</v>
      </c>
      <c r="D26" s="596"/>
      <c r="E26" s="595" t="s">
        <v>8</v>
      </c>
      <c r="F26" s="596"/>
      <c r="G26" s="7"/>
      <c r="H26" s="7"/>
      <c r="J26" s="3"/>
      <c r="K26" s="597" t="s">
        <v>40</v>
      </c>
      <c r="L26" s="598"/>
      <c r="M26" s="597" t="s">
        <v>36</v>
      </c>
      <c r="N26" s="598"/>
      <c r="O26" s="3"/>
      <c r="P26" s="3"/>
    </row>
    <row r="27" spans="2:17" x14ac:dyDescent="0.25">
      <c r="B27" s="5"/>
      <c r="C27" s="322" t="s">
        <v>30</v>
      </c>
      <c r="D27" s="322" t="s">
        <v>29</v>
      </c>
      <c r="E27" s="322" t="s">
        <v>30</v>
      </c>
      <c r="F27" s="322" t="s">
        <v>29</v>
      </c>
      <c r="G27" s="322" t="s">
        <v>628</v>
      </c>
      <c r="H27" s="322" t="s">
        <v>430</v>
      </c>
      <c r="J27" s="3"/>
      <c r="K27" s="322" t="s">
        <v>30</v>
      </c>
      <c r="L27" s="322" t="s">
        <v>29</v>
      </c>
      <c r="M27" s="322" t="s">
        <v>30</v>
      </c>
      <c r="N27" s="322" t="s">
        <v>29</v>
      </c>
      <c r="O27" s="322" t="s">
        <v>629</v>
      </c>
      <c r="P27" s="322" t="s">
        <v>430</v>
      </c>
    </row>
    <row r="28" spans="2:17" x14ac:dyDescent="0.25">
      <c r="B28" s="2">
        <v>39783</v>
      </c>
      <c r="C28" s="1">
        <f>VLOOKUP($B28,'AUX Beneficiarios Mensual'!$C$7:$X$1048576,12,FALSE)</f>
        <v>1234</v>
      </c>
      <c r="D28" s="1">
        <f>VLOOKUP($B28,'AUX Beneficiarios Mensual'!$C$7:$X$1048576,5,FALSE)</f>
        <v>3251</v>
      </c>
      <c r="E28" s="1">
        <f>VLOOKUP($B28,'AUX Beneficiarios Mensual'!$C$7:$X$1048576,13,FALSE)</f>
        <v>348</v>
      </c>
      <c r="F28" s="1">
        <f>VLOOKUP($B28,'AUX Beneficiarios Mensual'!$C$7:$X$1048576,6,FALSE)</f>
        <v>352</v>
      </c>
      <c r="G28" s="445">
        <f>SUM(C28:F28)</f>
        <v>5185</v>
      </c>
      <c r="H28" s="444">
        <v>2008</v>
      </c>
      <c r="J28" s="2">
        <v>39783</v>
      </c>
      <c r="K28" s="1">
        <f>VLOOKUP($J28,'AUX Beneficiarios Mensual'!$C$7:$X$1048576,9,FALSE)</f>
        <v>113630</v>
      </c>
      <c r="L28" s="1">
        <f>VLOOKUP($J28,'AUX Beneficiarios Mensual'!$C$7:$X$1048576,2,FALSE)</f>
        <v>244815</v>
      </c>
      <c r="M28" s="1">
        <f>VLOOKUP($J28,'AUX Beneficiarios Mensual'!$C$7:$X$1048576,10,FALSE)</f>
        <v>84823</v>
      </c>
      <c r="N28" s="1">
        <f>VLOOKUP($J28,'AUX Beneficiarios Mensual'!$C$7:$X$1048576,3,FALSE)</f>
        <v>109628</v>
      </c>
      <c r="O28" s="445">
        <f>SUM(K28:N28)</f>
        <v>552896</v>
      </c>
      <c r="P28" s="444">
        <v>2008</v>
      </c>
    </row>
    <row r="29" spans="2:17" x14ac:dyDescent="0.25">
      <c r="B29" s="2">
        <v>40148</v>
      </c>
      <c r="C29" s="1">
        <f>VLOOKUP($B29,'AUX Beneficiarios Mensual'!$C$7:$X$1048576,12,FALSE)</f>
        <v>100434</v>
      </c>
      <c r="D29" s="1">
        <f>VLOOKUP($B29,'AUX Beneficiarios Mensual'!$C$7:$X$1048576,5,FALSE)</f>
        <v>137544</v>
      </c>
      <c r="E29" s="1">
        <f>VLOOKUP($B29,'AUX Beneficiarios Mensual'!$C$7:$X$1048576,13,FALSE)</f>
        <v>3798</v>
      </c>
      <c r="F29" s="1">
        <f>VLOOKUP($B29,'AUX Beneficiarios Mensual'!$C$7:$X$1048576,6,FALSE)</f>
        <v>4968</v>
      </c>
      <c r="G29" s="445">
        <f t="shared" ref="G29:G42" si="0">SUM(C29:F29)</f>
        <v>246744</v>
      </c>
      <c r="H29" s="444">
        <v>2009</v>
      </c>
      <c r="J29" s="2">
        <v>40148</v>
      </c>
      <c r="K29" s="1">
        <f>VLOOKUP($J29,'AUX Beneficiarios Mensual'!$C$7:$X$1048576,9,FALSE)</f>
        <v>119964</v>
      </c>
      <c r="L29" s="1">
        <f>VLOOKUP($J29,'AUX Beneficiarios Mensual'!$C$7:$X$1048576,2,FALSE)</f>
        <v>278864</v>
      </c>
      <c r="M29" s="1">
        <f>VLOOKUP($J29,'AUX Beneficiarios Mensual'!$C$7:$X$1048576,10,FALSE)</f>
        <v>88990</v>
      </c>
      <c r="N29" s="1">
        <f>VLOOKUP($J29,'AUX Beneficiarios Mensual'!$C$7:$X$1048576,3,FALSE)</f>
        <v>123215</v>
      </c>
      <c r="O29" s="445">
        <f t="shared" ref="O29:O41" si="1">SUM(K29:N29)</f>
        <v>611033</v>
      </c>
      <c r="P29" s="444">
        <v>2009</v>
      </c>
    </row>
    <row r="30" spans="2:17" x14ac:dyDescent="0.25">
      <c r="B30" s="2">
        <v>40513</v>
      </c>
      <c r="C30" s="1">
        <f>VLOOKUP($B30,'AUX Beneficiarios Mensual'!$C$7:$X$1048576,12,FALSE)</f>
        <v>154356</v>
      </c>
      <c r="D30" s="1">
        <f>VLOOKUP($B30,'AUX Beneficiarios Mensual'!$C$7:$X$1048576,5,FALSE)</f>
        <v>215860</v>
      </c>
      <c r="E30" s="1">
        <f>VLOOKUP($B30,'AUX Beneficiarios Mensual'!$C$7:$X$1048576,13,FALSE)</f>
        <v>7277</v>
      </c>
      <c r="F30" s="1">
        <f>VLOOKUP($B30,'AUX Beneficiarios Mensual'!$C$7:$X$1048576,6,FALSE)</f>
        <v>10094</v>
      </c>
      <c r="G30" s="445">
        <f t="shared" si="0"/>
        <v>387587</v>
      </c>
      <c r="H30" s="444">
        <v>2010</v>
      </c>
      <c r="J30" s="2">
        <v>40513</v>
      </c>
      <c r="K30" s="1">
        <f>VLOOKUP($J30,'AUX Beneficiarios Mensual'!$C$7:$X$1048576,9,FALSE)</f>
        <v>119464</v>
      </c>
      <c r="L30" s="1">
        <f>VLOOKUP($J30,'AUX Beneficiarios Mensual'!$C$7:$X$1048576,2,FALSE)</f>
        <v>287654</v>
      </c>
      <c r="M30" s="1">
        <f>VLOOKUP($J30,'AUX Beneficiarios Mensual'!$C$7:$X$1048576,10,FALSE)</f>
        <v>89975</v>
      </c>
      <c r="N30" s="1">
        <f>VLOOKUP($J30,'AUX Beneficiarios Mensual'!$C$7:$X$1048576,3,FALSE)</f>
        <v>126415</v>
      </c>
      <c r="O30" s="445">
        <f t="shared" si="1"/>
        <v>623508</v>
      </c>
      <c r="P30" s="444">
        <v>2010</v>
      </c>
    </row>
    <row r="31" spans="2:17" x14ac:dyDescent="0.25">
      <c r="B31" s="2">
        <v>40878</v>
      </c>
      <c r="C31" s="1">
        <f>VLOOKUP($B31,'AUX Beneficiarios Mensual'!$C$7:$X$1048576,12,FALSE)</f>
        <v>183726</v>
      </c>
      <c r="D31" s="1">
        <f>VLOOKUP($B31,'AUX Beneficiarios Mensual'!$C$7:$X$1048576,5,FALSE)</f>
        <v>253065</v>
      </c>
      <c r="E31" s="1">
        <f>VLOOKUP($B31,'AUX Beneficiarios Mensual'!$C$7:$X$1048576,13,FALSE)</f>
        <v>10837</v>
      </c>
      <c r="F31" s="1">
        <f>VLOOKUP($B31,'AUX Beneficiarios Mensual'!$C$7:$X$1048576,6,FALSE)</f>
        <v>15067</v>
      </c>
      <c r="G31" s="445">
        <f t="shared" si="0"/>
        <v>462695</v>
      </c>
      <c r="H31" s="444">
        <v>2011</v>
      </c>
      <c r="J31" s="2">
        <v>40878</v>
      </c>
      <c r="K31" s="1">
        <f>VLOOKUP($J31,'AUX Beneficiarios Mensual'!$C$7:$X$1048576,9,FALSE)</f>
        <v>117871</v>
      </c>
      <c r="L31" s="1">
        <f>VLOOKUP($J31,'AUX Beneficiarios Mensual'!$C$7:$X$1048576,2,FALSE)</f>
        <v>287245</v>
      </c>
      <c r="M31" s="1">
        <f>VLOOKUP($J31,'AUX Beneficiarios Mensual'!$C$7:$X$1048576,10,FALSE)</f>
        <v>89009</v>
      </c>
      <c r="N31" s="1">
        <f>VLOOKUP($J31,'AUX Beneficiarios Mensual'!$C$7:$X$1048576,3,FALSE)</f>
        <v>124792</v>
      </c>
      <c r="O31" s="445">
        <f t="shared" si="1"/>
        <v>618917</v>
      </c>
      <c r="P31" s="444">
        <v>2011</v>
      </c>
    </row>
    <row r="32" spans="2:17" x14ac:dyDescent="0.25">
      <c r="B32" s="2">
        <v>41244</v>
      </c>
      <c r="C32" s="1">
        <f>VLOOKUP($B32,'AUX Beneficiarios Mensual'!$C$7:$X$1048576,12,FALSE)</f>
        <v>227534</v>
      </c>
      <c r="D32" s="1">
        <f>VLOOKUP($B32,'AUX Beneficiarios Mensual'!$C$7:$X$1048576,5,FALSE)</f>
        <v>312354</v>
      </c>
      <c r="E32" s="1">
        <f>VLOOKUP($B32,'AUX Beneficiarios Mensual'!$C$7:$X$1048576,13,FALSE)</f>
        <v>17699</v>
      </c>
      <c r="F32" s="1">
        <f>VLOOKUP($B32,'AUX Beneficiarios Mensual'!$C$7:$X$1048576,6,FALSE)</f>
        <v>22465</v>
      </c>
      <c r="G32" s="445">
        <f t="shared" si="0"/>
        <v>580052</v>
      </c>
      <c r="H32" s="444">
        <v>2012</v>
      </c>
      <c r="J32" s="2">
        <v>41244</v>
      </c>
      <c r="K32" s="1">
        <f>VLOOKUP($J32,'AUX Beneficiarios Mensual'!$C$7:$X$1048576,9,FALSE)</f>
        <v>116042</v>
      </c>
      <c r="L32" s="1">
        <f>VLOOKUP($J32,'AUX Beneficiarios Mensual'!$C$7:$X$1048576,2,FALSE)</f>
        <v>290081</v>
      </c>
      <c r="M32" s="1">
        <f>VLOOKUP($J32,'AUX Beneficiarios Mensual'!$C$7:$X$1048576,10,FALSE)</f>
        <v>80753</v>
      </c>
      <c r="N32" s="1">
        <f>VLOOKUP($J32,'AUX Beneficiarios Mensual'!$C$7:$X$1048576,3,FALSE)</f>
        <v>114101</v>
      </c>
      <c r="O32" s="445">
        <f t="shared" si="1"/>
        <v>600977</v>
      </c>
      <c r="P32" s="444">
        <v>2012</v>
      </c>
    </row>
    <row r="33" spans="2:22" x14ac:dyDescent="0.25">
      <c r="B33" s="2">
        <v>41609</v>
      </c>
      <c r="C33" s="1">
        <f>VLOOKUP($B33,'AUX Beneficiarios Mensual'!$C$7:$X$1048576,12,FALSE)</f>
        <v>247347</v>
      </c>
      <c r="D33" s="1">
        <f>VLOOKUP($B33,'AUX Beneficiarios Mensual'!$C$7:$X$1048576,5,FALSE)</f>
        <v>339536</v>
      </c>
      <c r="E33" s="1">
        <f>VLOOKUP($B33,'AUX Beneficiarios Mensual'!$C$7:$X$1048576,13,FALSE)</f>
        <v>24221</v>
      </c>
      <c r="F33" s="1">
        <f>VLOOKUP($B33,'AUX Beneficiarios Mensual'!$C$7:$X$1048576,6,FALSE)</f>
        <v>30254</v>
      </c>
      <c r="G33" s="445">
        <f t="shared" si="0"/>
        <v>641358</v>
      </c>
      <c r="H33" s="444">
        <v>2013</v>
      </c>
      <c r="J33" s="2">
        <v>41609</v>
      </c>
      <c r="K33" s="1">
        <f>VLOOKUP($J33,'AUX Beneficiarios Mensual'!$C$7:$X$1048576,9,FALSE)</f>
        <v>112309</v>
      </c>
      <c r="L33" s="1">
        <f>VLOOKUP($J33,'AUX Beneficiarios Mensual'!$C$7:$X$1048576,2,FALSE)</f>
        <v>288459</v>
      </c>
      <c r="M33" s="1">
        <f>VLOOKUP($J33,'AUX Beneficiarios Mensual'!$C$7:$X$1048576,10,FALSE)</f>
        <v>77638</v>
      </c>
      <c r="N33" s="1">
        <f>VLOOKUP($J33,'AUX Beneficiarios Mensual'!$C$7:$X$1048576,3,FALSE)</f>
        <v>109144</v>
      </c>
      <c r="O33" s="445">
        <f t="shared" si="1"/>
        <v>587550</v>
      </c>
      <c r="P33" s="444">
        <v>2013</v>
      </c>
    </row>
    <row r="34" spans="2:22" x14ac:dyDescent="0.25">
      <c r="B34" s="2">
        <v>41974</v>
      </c>
      <c r="C34" s="1">
        <f>VLOOKUP($B34,'AUX Beneficiarios Mensual'!$C$7:$X$1048576,12,FALSE)</f>
        <v>267943</v>
      </c>
      <c r="D34" s="1">
        <f>VLOOKUP($B34,'AUX Beneficiarios Mensual'!$C$7:$X$1048576,5,FALSE)</f>
        <v>367802</v>
      </c>
      <c r="E34" s="1">
        <f>VLOOKUP($B34,'AUX Beneficiarios Mensual'!$C$7:$X$1048576,13,FALSE)</f>
        <v>28268</v>
      </c>
      <c r="F34" s="1">
        <f>VLOOKUP($B34,'AUX Beneficiarios Mensual'!$C$7:$X$1048576,6,FALSE)</f>
        <v>34413</v>
      </c>
      <c r="G34" s="445">
        <f t="shared" si="0"/>
        <v>698426</v>
      </c>
      <c r="H34" s="444">
        <v>2014</v>
      </c>
      <c r="J34" s="2">
        <v>41974</v>
      </c>
      <c r="K34" s="1">
        <f>VLOOKUP($J34,'AUX Beneficiarios Mensual'!$C$7:$X$1048576,9,FALSE)</f>
        <v>111058</v>
      </c>
      <c r="L34" s="1">
        <f>VLOOKUP($J34,'AUX Beneficiarios Mensual'!$C$7:$X$1048576,2,FALSE)</f>
        <v>290598</v>
      </c>
      <c r="M34" s="1">
        <f>VLOOKUP($J34,'AUX Beneficiarios Mensual'!$C$7:$X$1048576,10,FALSE)</f>
        <v>75235</v>
      </c>
      <c r="N34" s="1">
        <f>VLOOKUP($J34,'AUX Beneficiarios Mensual'!$C$7:$X$1048576,3,FALSE)</f>
        <v>106311</v>
      </c>
      <c r="O34" s="445">
        <f t="shared" si="1"/>
        <v>583202</v>
      </c>
      <c r="P34" s="444">
        <v>2014</v>
      </c>
    </row>
    <row r="35" spans="2:22" x14ac:dyDescent="0.25">
      <c r="B35" s="2">
        <v>42339</v>
      </c>
      <c r="C35" s="1">
        <f>VLOOKUP($B35,'AUX Beneficiarios Mensual'!$C$7:$X$1048576,12,FALSE)</f>
        <v>288817</v>
      </c>
      <c r="D35" s="1">
        <f>VLOOKUP($B35,'AUX Beneficiarios Mensual'!$C$7:$X$1048576,5,FALSE)</f>
        <v>397672</v>
      </c>
      <c r="E35" s="1">
        <f>VLOOKUP($B35,'AUX Beneficiarios Mensual'!$C$7:$X$1048576,13,FALSE)</f>
        <v>29530</v>
      </c>
      <c r="F35" s="1">
        <f>VLOOKUP($B35,'AUX Beneficiarios Mensual'!$C$7:$X$1048576,6,FALSE)</f>
        <v>35597</v>
      </c>
      <c r="G35" s="445">
        <f t="shared" si="0"/>
        <v>751616</v>
      </c>
      <c r="H35" s="444">
        <v>2015</v>
      </c>
      <c r="J35" s="2">
        <v>42339</v>
      </c>
      <c r="K35" s="1">
        <f>VLOOKUP($J35,'AUX Beneficiarios Mensual'!$C$7:$X$1048576,9,FALSE)</f>
        <v>109696</v>
      </c>
      <c r="L35" s="1">
        <f>VLOOKUP($J35,'AUX Beneficiarios Mensual'!$C$7:$X$1048576,2,FALSE)</f>
        <v>289818</v>
      </c>
      <c r="M35" s="1">
        <f>VLOOKUP($J35,'AUX Beneficiarios Mensual'!$C$7:$X$1048576,10,FALSE)</f>
        <v>74896</v>
      </c>
      <c r="N35" s="1">
        <f>VLOOKUP($J35,'AUX Beneficiarios Mensual'!$C$7:$X$1048576,3,FALSE)</f>
        <v>104882</v>
      </c>
      <c r="O35" s="445">
        <f t="shared" si="1"/>
        <v>579292</v>
      </c>
      <c r="P35" s="444">
        <v>2015</v>
      </c>
    </row>
    <row r="36" spans="2:22" x14ac:dyDescent="0.25">
      <c r="B36" s="2">
        <v>42705</v>
      </c>
      <c r="C36" s="1">
        <f>VLOOKUP($B36,'AUX Beneficiarios Mensual'!$C$7:$X$1048576,12,FALSE)</f>
        <v>305119</v>
      </c>
      <c r="D36" s="1">
        <f>VLOOKUP($B36,'AUX Beneficiarios Mensual'!$C$7:$X$1048576,5,FALSE)</f>
        <v>420635</v>
      </c>
      <c r="E36" s="1">
        <f>VLOOKUP($B36,'AUX Beneficiarios Mensual'!$C$7:$X$1048576,13,FALSE)</f>
        <v>29476</v>
      </c>
      <c r="F36" s="1">
        <f>VLOOKUP($B36,'AUX Beneficiarios Mensual'!$C$7:$X$1048576,6,FALSE)</f>
        <v>35407</v>
      </c>
      <c r="G36" s="445">
        <f t="shared" si="0"/>
        <v>790637</v>
      </c>
      <c r="H36" s="444">
        <v>2016</v>
      </c>
      <c r="J36" s="2">
        <v>42705</v>
      </c>
      <c r="K36" s="1">
        <f>VLOOKUP($J36,'AUX Beneficiarios Mensual'!$C$7:$X$1048576,9,FALSE)</f>
        <v>108045</v>
      </c>
      <c r="L36" s="1">
        <f>VLOOKUP($J36,'AUX Beneficiarios Mensual'!$C$7:$X$1048576,2,FALSE)</f>
        <v>290606</v>
      </c>
      <c r="M36" s="1">
        <f>VLOOKUP($J36,'AUX Beneficiarios Mensual'!$C$7:$X$1048576,10,FALSE)</f>
        <v>75845</v>
      </c>
      <c r="N36" s="1">
        <f>VLOOKUP($J36,'AUX Beneficiarios Mensual'!$C$7:$X$1048576,3,FALSE)</f>
        <v>105476</v>
      </c>
      <c r="O36" s="445">
        <f t="shared" si="1"/>
        <v>579972</v>
      </c>
      <c r="P36" s="444">
        <v>2016</v>
      </c>
    </row>
    <row r="37" spans="2:22" x14ac:dyDescent="0.25">
      <c r="B37" s="2">
        <v>43070</v>
      </c>
      <c r="C37" s="1">
        <f>VLOOKUP($B37,'AUX Beneficiarios Mensual'!$C$7:$X$1048576,12,FALSE)</f>
        <v>325611</v>
      </c>
      <c r="D37" s="1">
        <f>VLOOKUP($B37,'AUX Beneficiarios Mensual'!$C$7:$X$1048576,5,FALSE)</f>
        <v>448472</v>
      </c>
      <c r="E37" s="1">
        <f>VLOOKUP($B37,'AUX Beneficiarios Mensual'!$C$7:$X$1048576,13,FALSE)</f>
        <v>29394</v>
      </c>
      <c r="F37" s="1">
        <f>VLOOKUP($B37,'AUX Beneficiarios Mensual'!$C$7:$X$1048576,6,FALSE)</f>
        <v>35047</v>
      </c>
      <c r="G37" s="445">
        <f t="shared" si="0"/>
        <v>838524</v>
      </c>
      <c r="H37" s="444">
        <v>2017</v>
      </c>
      <c r="J37" s="2">
        <v>43070</v>
      </c>
      <c r="K37" s="1">
        <f>VLOOKUP($J37,'AUX Beneficiarios Mensual'!$C$7:$X$1048576,9,FALSE)</f>
        <v>107133</v>
      </c>
      <c r="L37" s="1">
        <f>VLOOKUP($J37,'AUX Beneficiarios Mensual'!$C$7:$X$1048576,2,FALSE)</f>
        <v>292377</v>
      </c>
      <c r="M37" s="1">
        <f>VLOOKUP($J37,'AUX Beneficiarios Mensual'!$C$7:$X$1048576,10,FALSE)</f>
        <v>76834</v>
      </c>
      <c r="N37" s="1">
        <f>VLOOKUP($J37,'AUX Beneficiarios Mensual'!$C$7:$X$1048576,3,FALSE)</f>
        <v>105470</v>
      </c>
      <c r="O37" s="445">
        <f t="shared" si="1"/>
        <v>581814</v>
      </c>
      <c r="P37" s="444">
        <v>2017</v>
      </c>
    </row>
    <row r="38" spans="2:22" x14ac:dyDescent="0.25">
      <c r="B38" s="2">
        <v>43435</v>
      </c>
      <c r="C38" s="1">
        <f>VLOOKUP($B38,'AUX Beneficiarios Mensual'!$C$7:$X$1048576,12,FALSE)</f>
        <v>360031</v>
      </c>
      <c r="D38" s="1">
        <f>VLOOKUP($B38,'AUX Beneficiarios Mensual'!$C$7:$X$1048576,5,FALSE)</f>
        <v>493400</v>
      </c>
      <c r="E38" s="1">
        <f>VLOOKUP($B38,'AUX Beneficiarios Mensual'!$C$7:$X$1048576,13,FALSE)</f>
        <v>30827</v>
      </c>
      <c r="F38" s="1">
        <f>VLOOKUP($B38,'AUX Beneficiarios Mensual'!$C$7:$X$1048576,6,FALSE)</f>
        <v>36075</v>
      </c>
      <c r="G38" s="445">
        <f t="shared" si="0"/>
        <v>920333</v>
      </c>
      <c r="H38" s="444">
        <v>2018</v>
      </c>
      <c r="J38" s="2">
        <v>43435</v>
      </c>
      <c r="K38" s="1">
        <f>VLOOKUP($J38,'AUX Beneficiarios Mensual'!$C$7:$X$1048576,9,FALSE)</f>
        <v>106851</v>
      </c>
      <c r="L38" s="1">
        <f>VLOOKUP($J38,'AUX Beneficiarios Mensual'!$C$7:$X$1048576,2,FALSE)</f>
        <v>297497</v>
      </c>
      <c r="M38" s="1">
        <f>VLOOKUP($J38,'AUX Beneficiarios Mensual'!$C$7:$X$1048576,10,FALSE)</f>
        <v>77609</v>
      </c>
      <c r="N38" s="1">
        <f>VLOOKUP($J38,'AUX Beneficiarios Mensual'!$C$7:$X$1048576,3,FALSE)</f>
        <v>105302</v>
      </c>
      <c r="O38" s="445">
        <f t="shared" si="1"/>
        <v>587259</v>
      </c>
      <c r="P38" s="444">
        <v>2018</v>
      </c>
    </row>
    <row r="39" spans="2:22" x14ac:dyDescent="0.25">
      <c r="B39" s="2">
        <v>43800</v>
      </c>
      <c r="C39" s="1">
        <f>VLOOKUP($B39,'AUX Beneficiarios Mensual'!$C$7:$X$1048576,12,FALSE)</f>
        <v>388114</v>
      </c>
      <c r="D39" s="1">
        <f>VLOOKUP($B39,'AUX Beneficiarios Mensual'!$C$7:$X$1048576,5,FALSE)</f>
        <v>525915</v>
      </c>
      <c r="E39" s="1">
        <f>VLOOKUP($B39,'AUX Beneficiarios Mensual'!$C$7:$X$1048576,13,FALSE)</f>
        <v>31630</v>
      </c>
      <c r="F39" s="1">
        <f>VLOOKUP($B39,'AUX Beneficiarios Mensual'!$C$7:$X$1048576,6,FALSE)</f>
        <v>36702</v>
      </c>
      <c r="G39" s="445">
        <f t="shared" si="0"/>
        <v>982361</v>
      </c>
      <c r="H39" s="444">
        <v>2019</v>
      </c>
      <c r="J39" s="2">
        <v>43800</v>
      </c>
      <c r="K39" s="1">
        <f>VLOOKUP($J39,'AUX Beneficiarios Mensual'!$C$7:$X$1048576,9,FALSE)</f>
        <v>106146</v>
      </c>
      <c r="L39" s="1">
        <f>VLOOKUP($J39,'AUX Beneficiarios Mensual'!$C$7:$X$1048576,2,FALSE)</f>
        <v>300920</v>
      </c>
      <c r="M39" s="1">
        <f>VLOOKUP($J39,'AUX Beneficiarios Mensual'!$C$7:$X$1048576,10,FALSE)</f>
        <v>77761</v>
      </c>
      <c r="N39" s="1">
        <f>VLOOKUP($J39,'AUX Beneficiarios Mensual'!$C$7:$X$1048576,3,FALSE)</f>
        <v>104196</v>
      </c>
      <c r="O39" s="445">
        <f t="shared" si="1"/>
        <v>589023</v>
      </c>
      <c r="P39" s="444">
        <v>2019</v>
      </c>
    </row>
    <row r="40" spans="2:22" x14ac:dyDescent="0.25">
      <c r="B40" s="2">
        <v>44166</v>
      </c>
      <c r="C40" s="1">
        <f>VLOOKUP($B40,'AUX Beneficiarios Mensual'!$C$7:$X$1048576,12,FALSE)</f>
        <v>439776</v>
      </c>
      <c r="D40" s="1">
        <f>VLOOKUP($B40,'AUX Beneficiarios Mensual'!$C$7:$X$1048576,5,FALSE)</f>
        <v>595180</v>
      </c>
      <c r="E40" s="1">
        <f>VLOOKUP($B40,'AUX Beneficiarios Mensual'!$C$7:$X$1048576,13,FALSE)</f>
        <v>34075</v>
      </c>
      <c r="F40" s="1">
        <f>VLOOKUP($B40,'AUX Beneficiarios Mensual'!$C$7:$X$1048576,6,FALSE)</f>
        <v>38619</v>
      </c>
      <c r="G40" s="445">
        <f t="shared" si="0"/>
        <v>1107650</v>
      </c>
      <c r="H40" s="444">
        <v>2020</v>
      </c>
      <c r="J40" s="2">
        <v>44166</v>
      </c>
      <c r="K40" s="1">
        <f>VLOOKUP($J40,'AUX Beneficiarios Mensual'!$C$7:$X$1048576,9,FALSE)</f>
        <v>104548</v>
      </c>
      <c r="L40" s="1">
        <f>VLOOKUP($J40,'AUX Beneficiarios Mensual'!$C$7:$X$1048576,2,FALSE)</f>
        <v>302560</v>
      </c>
      <c r="M40" s="1">
        <f>VLOOKUP($J40,'AUX Beneficiarios Mensual'!$C$7:$X$1048576,10,FALSE)</f>
        <v>78045</v>
      </c>
      <c r="N40" s="1">
        <f>VLOOKUP($J40,'AUX Beneficiarios Mensual'!$C$7:$X$1048576,3,FALSE)</f>
        <v>103131</v>
      </c>
      <c r="O40" s="445">
        <f t="shared" si="1"/>
        <v>588284</v>
      </c>
      <c r="P40" s="444">
        <v>2020</v>
      </c>
      <c r="R40" s="5"/>
      <c r="S40" s="592" t="s">
        <v>44</v>
      </c>
      <c r="T40" s="592"/>
      <c r="U40" s="3"/>
    </row>
    <row r="41" spans="2:22" x14ac:dyDescent="0.25">
      <c r="B41" s="2">
        <v>44531</v>
      </c>
      <c r="C41" s="1">
        <f>VLOOKUP($B41,'AUX Beneficiarios Mensual'!$C$7:$X$1048576,12,FALSE)</f>
        <v>486375</v>
      </c>
      <c r="D41" s="1">
        <f>VLOOKUP($B41,'AUX Beneficiarios Mensual'!$C$7:$X$1048576,5,FALSE)</f>
        <v>661228</v>
      </c>
      <c r="E41" s="1">
        <f>VLOOKUP($B41,'AUX Beneficiarios Mensual'!$C$7:$X$1048576,13,FALSE)</f>
        <v>41477</v>
      </c>
      <c r="F41" s="1">
        <f>VLOOKUP($B41,'AUX Beneficiarios Mensual'!$C$7:$X$1048576,6,FALSE)</f>
        <v>43273</v>
      </c>
      <c r="G41" s="445">
        <f t="shared" si="0"/>
        <v>1232353</v>
      </c>
      <c r="H41" s="444">
        <v>2021</v>
      </c>
      <c r="J41" s="2">
        <v>44531</v>
      </c>
      <c r="K41" s="1">
        <f>VLOOKUP($J41,'AUX Beneficiarios Mensual'!$C$7:$X$1048576,9,FALSE)</f>
        <v>105397</v>
      </c>
      <c r="L41" s="1">
        <f>VLOOKUP($J41,'AUX Beneficiarios Mensual'!$C$7:$X$1048576,2,FALSE)</f>
        <v>308126</v>
      </c>
      <c r="M41" s="1">
        <f>VLOOKUP($J41,'AUX Beneficiarios Mensual'!$C$7:$X$1048576,10,FALSE)</f>
        <v>79548</v>
      </c>
      <c r="N41" s="1">
        <f>VLOOKUP($J41,'AUX Beneficiarios Mensual'!$C$7:$X$1048576,3,FALSE)</f>
        <v>102539</v>
      </c>
      <c r="O41" s="445">
        <f t="shared" si="1"/>
        <v>595610</v>
      </c>
      <c r="P41" s="444">
        <v>2021</v>
      </c>
      <c r="R41" s="5"/>
      <c r="S41" s="322" t="s">
        <v>30</v>
      </c>
      <c r="T41" s="322" t="s">
        <v>29</v>
      </c>
      <c r="U41" s="322" t="s">
        <v>5</v>
      </c>
      <c r="V41" s="322" t="s">
        <v>430</v>
      </c>
    </row>
    <row r="42" spans="2:22" x14ac:dyDescent="0.25">
      <c r="B42" s="2">
        <v>44896</v>
      </c>
      <c r="C42" s="1">
        <f>VLOOKUP($B42,'AUX Beneficiarios Mensual'!$C$7:$X$1048576,12,FALSE)</f>
        <v>63190</v>
      </c>
      <c r="D42" s="1">
        <f>VLOOKUP($B42,'AUX Beneficiarios Mensual'!$C$7:$X$1048576,5,FALSE)</f>
        <v>108989</v>
      </c>
      <c r="E42" s="1">
        <f>VLOOKUP($B42,'AUX Beneficiarios Mensual'!$C$7:$X$1048576,13,FALSE)</f>
        <v>46817</v>
      </c>
      <c r="F42" s="1">
        <f>VLOOKUP($B42,'AUX Beneficiarios Mensual'!$C$7:$X$1048576,6,FALSE)</f>
        <v>45881</v>
      </c>
      <c r="G42" s="445">
        <f t="shared" si="0"/>
        <v>264877</v>
      </c>
      <c r="H42" s="444">
        <v>2022</v>
      </c>
      <c r="J42" s="2">
        <v>44896</v>
      </c>
      <c r="K42" s="4">
        <v>0</v>
      </c>
      <c r="L42" s="4">
        <v>0</v>
      </c>
      <c r="M42" s="1">
        <f>VLOOKUP($J42,'AUX Beneficiarios Mensual'!$C$7:$X$1048576,10,FALSE)</f>
        <v>81605</v>
      </c>
      <c r="N42" s="1">
        <f>VLOOKUP($J42,'AUX Beneficiarios Mensual'!$C$7:$X$1048576,3,FALSE)</f>
        <v>103979</v>
      </c>
      <c r="O42" s="445">
        <f>SUM(K42:N42)</f>
        <v>185584</v>
      </c>
      <c r="P42" s="444">
        <v>2022</v>
      </c>
      <c r="R42" s="2">
        <v>44896</v>
      </c>
      <c r="S42" s="1">
        <f>VLOOKUP($R42,'AUX Beneficiarios Mensual'!$C$7:$X$1048576,9,FALSE)+VLOOKUP($R42,'AUX Beneficiarios Mensual'!$C$7:$X$1048576,11,FALSE)</f>
        <v>720618</v>
      </c>
      <c r="T42" s="1">
        <f>VLOOKUP($R42,'AUX Beneficiarios Mensual'!$C$7:$X$1048576,2,FALSE)+VLOOKUP($R42,'AUX Beneficiarios Mensual'!$C$7:$X$1048576,4,FALSE)</f>
        <v>1047099</v>
      </c>
      <c r="U42" s="1">
        <f>S42+T42</f>
        <v>1767717</v>
      </c>
      <c r="V42" s="444">
        <v>2022</v>
      </c>
    </row>
    <row r="43" spans="2:22" x14ac:dyDescent="0.25">
      <c r="B43" s="2">
        <v>45261</v>
      </c>
      <c r="C43" s="1">
        <f>VLOOKUP($B43,'AUX Beneficiarios Mensual'!$C$7:$X$1048576,12,FALSE)</f>
        <v>60307</v>
      </c>
      <c r="D43" s="1">
        <f>VLOOKUP($B43,'AUX Beneficiarios Mensual'!$C$7:$X$1048576,5,FALSE)</f>
        <v>105880</v>
      </c>
      <c r="E43" s="1">
        <f>VLOOKUP($B43,'AUX Beneficiarios Mensual'!$C$7:$X$1048576,13,FALSE)</f>
        <v>50164</v>
      </c>
      <c r="F43" s="1">
        <f>VLOOKUP($B43,'AUX Beneficiarios Mensual'!$C$7:$X$1048576,6,FALSE)</f>
        <v>47405</v>
      </c>
      <c r="G43" s="445">
        <f>SUM(C43:F43)</f>
        <v>263756</v>
      </c>
      <c r="H43" s="444">
        <v>2023</v>
      </c>
      <c r="J43" s="2">
        <v>45261</v>
      </c>
      <c r="K43" s="4">
        <v>0</v>
      </c>
      <c r="L43" s="4">
        <v>0</v>
      </c>
      <c r="M43" s="1">
        <f>VLOOKUP($J43,'AUX Beneficiarios Mensual'!$C$7:$X$1048576,10,FALSE)</f>
        <v>84948</v>
      </c>
      <c r="N43" s="1">
        <f>VLOOKUP($J43,'AUX Beneficiarios Mensual'!$C$7:$X$1048576,3,FALSE)</f>
        <v>107857</v>
      </c>
      <c r="O43" s="445">
        <f>SUM(K43:N43)</f>
        <v>192805</v>
      </c>
      <c r="P43" s="444">
        <v>2023</v>
      </c>
      <c r="R43" s="2">
        <v>45261</v>
      </c>
      <c r="S43" s="1">
        <f>VLOOKUP($R43,'AUX Beneficiarios Mensual'!$C$7:$X$1048576,9,FALSE)+VLOOKUP($R43,'AUX Beneficiarios Mensual'!$C$7:$X$1048576,11,FALSE)</f>
        <v>822080</v>
      </c>
      <c r="T43" s="1">
        <f>VLOOKUP($R43,'AUX Beneficiarios Mensual'!$C$7:$X$1048576,2,FALSE)+VLOOKUP($R43,'AUX Beneficiarios Mensual'!$C$7:$X$1048576,4,FALSE)</f>
        <v>1158618</v>
      </c>
      <c r="U43" s="1">
        <f t="shared" ref="U43:U44" si="2">S43+T43</f>
        <v>1980698</v>
      </c>
      <c r="V43" s="444">
        <v>2023</v>
      </c>
    </row>
    <row r="44" spans="2:22" x14ac:dyDescent="0.25">
      <c r="B44" s="2">
        <v>45627</v>
      </c>
      <c r="C44" s="1">
        <f>VLOOKUP($B44,'AUX Beneficiarios Mensual'!$C$7:$X$1048576,12,FALSE)</f>
        <v>56788</v>
      </c>
      <c r="D44" s="1">
        <f>VLOOKUP($B44,'AUX Beneficiarios Mensual'!$C$7:$X$1048576,5,FALSE)</f>
        <v>102565</v>
      </c>
      <c r="E44" s="1">
        <f>VLOOKUP($B44,'AUX Beneficiarios Mensual'!$C$7:$X$1048576,13,FALSE)</f>
        <v>52224</v>
      </c>
      <c r="F44" s="1">
        <f>VLOOKUP($B44,'AUX Beneficiarios Mensual'!$C$7:$X$1048576,6,FALSE)</f>
        <v>48256</v>
      </c>
      <c r="G44" s="445">
        <f>SUM(C44:F44)</f>
        <v>259833</v>
      </c>
      <c r="H44" s="444">
        <v>2024</v>
      </c>
      <c r="J44" s="2">
        <v>45627</v>
      </c>
      <c r="K44" s="4">
        <v>0</v>
      </c>
      <c r="L44" s="4">
        <v>0</v>
      </c>
      <c r="M44" s="1">
        <f>VLOOKUP($J44,'AUX Beneficiarios Mensual'!$C$7:$X$1048576,10,FALSE)</f>
        <v>88198</v>
      </c>
      <c r="N44" s="1">
        <f>VLOOKUP($J44,'AUX Beneficiarios Mensual'!$C$7:$X$1048576,3,FALSE)</f>
        <v>111828</v>
      </c>
      <c r="O44" s="445">
        <f>SUM(K44:N44)</f>
        <v>200026</v>
      </c>
      <c r="P44" s="444">
        <v>2024</v>
      </c>
      <c r="R44" s="2">
        <v>45627</v>
      </c>
      <c r="S44" s="1">
        <f>VLOOKUP($R44,'AUX Beneficiarios Mensual'!$C$7:$X$1048576,9,FALSE)+VLOOKUP($R44,'AUX Beneficiarios Mensual'!$C$7:$X$1048576,11,FALSE)</f>
        <v>885599</v>
      </c>
      <c r="T44" s="1">
        <f>VLOOKUP($R44,'AUX Beneficiarios Mensual'!$C$7:$X$1048576,2,FALSE)+VLOOKUP($R44,'AUX Beneficiarios Mensual'!$C$7:$X$1048576,4,FALSE)</f>
        <v>1230175</v>
      </c>
      <c r="U44" s="1">
        <f t="shared" si="2"/>
        <v>2115774</v>
      </c>
      <c r="V44" s="444">
        <v>2024</v>
      </c>
    </row>
    <row r="45" spans="2:22" x14ac:dyDescent="0.25">
      <c r="B45" s="2">
        <v>45992</v>
      </c>
      <c r="C45" s="1">
        <f>VLOOKUP($B45,'AUX Beneficiarios Mensual'!$C$7:$X$1048576,12,FALSE)</f>
        <v>53695</v>
      </c>
      <c r="D45" s="1">
        <f>VLOOKUP($B45,'AUX Beneficiarios Mensual'!$C$7:$X$1048576,5,FALSE)</f>
        <v>99762</v>
      </c>
      <c r="E45" s="1">
        <f>VLOOKUP($B45,'AUX Beneficiarios Mensual'!$C$7:$X$1048576,13,FALSE)</f>
        <v>54920</v>
      </c>
      <c r="F45" s="1">
        <f>VLOOKUP($B45,'AUX Beneficiarios Mensual'!$C$7:$X$1048576,6,FALSE)</f>
        <v>49779</v>
      </c>
      <c r="G45" s="445">
        <f>SUM(C45:F45)</f>
        <v>258156</v>
      </c>
      <c r="H45" s="444">
        <v>2025</v>
      </c>
      <c r="J45" s="2">
        <v>45992</v>
      </c>
      <c r="K45" s="4">
        <v>0</v>
      </c>
      <c r="L45" s="4">
        <v>0</v>
      </c>
      <c r="M45" s="1">
        <f>VLOOKUP($J45,'AUX Beneficiarios Mensual'!$C$7:$X$1048576,10,FALSE)</f>
        <v>90346</v>
      </c>
      <c r="N45" s="1">
        <f>VLOOKUP($J45,'AUX Beneficiarios Mensual'!$C$7:$X$1048576,3,FALSE)</f>
        <v>114124</v>
      </c>
      <c r="O45" s="445">
        <f>SUM(K45:N45)</f>
        <v>204470</v>
      </c>
      <c r="P45" s="444">
        <v>2025</v>
      </c>
      <c r="R45" s="2">
        <v>45992</v>
      </c>
      <c r="S45" s="1">
        <f>VLOOKUP($R45,'AUX Beneficiarios Mensual'!$C$7:$X$1048576,9,FALSE)+VLOOKUP($R45,'AUX Beneficiarios Mensual'!$C$7:$X$1048576,11,FALSE)</f>
        <v>945158</v>
      </c>
      <c r="T45" s="1">
        <f>VLOOKUP($R45,'AUX Beneficiarios Mensual'!$C$7:$X$1048576,2,FALSE)+VLOOKUP($R45,'AUX Beneficiarios Mensual'!$C$7:$X$1048576,4,FALSE)</f>
        <v>1297963</v>
      </c>
      <c r="U45" s="1">
        <f t="shared" ref="U45" si="3">S45+T45</f>
        <v>2243121</v>
      </c>
      <c r="V45" s="444">
        <v>2025</v>
      </c>
    </row>
  </sheetData>
  <mergeCells count="10">
    <mergeCell ref="S40:T40"/>
    <mergeCell ref="N4:Q18"/>
    <mergeCell ref="B2:Q2"/>
    <mergeCell ref="C26:D26"/>
    <mergeCell ref="E26:F26"/>
    <mergeCell ref="M26:N26"/>
    <mergeCell ref="K26:L26"/>
    <mergeCell ref="B4:E18"/>
    <mergeCell ref="F4:I18"/>
    <mergeCell ref="J4:M18"/>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2938F-A9F7-470F-BF32-E8D78CD45053}">
  <sheetPr>
    <tabColor rgb="FFFFC000"/>
  </sheetPr>
  <dimension ref="B2:H39"/>
  <sheetViews>
    <sheetView showGridLines="0" zoomScale="90" zoomScaleNormal="90" workbookViewId="0"/>
    <sheetView workbookViewId="1"/>
  </sheetViews>
  <sheetFormatPr baseColWidth="10" defaultRowHeight="15" x14ac:dyDescent="0.25"/>
  <cols>
    <col min="8" max="8" width="14.85546875" customWidth="1"/>
  </cols>
  <sheetData>
    <row r="2" spans="2:8" x14ac:dyDescent="0.25">
      <c r="B2" s="587" t="s">
        <v>127</v>
      </c>
      <c r="C2" s="587"/>
      <c r="D2" s="587"/>
      <c r="E2" s="587"/>
      <c r="F2" s="587"/>
      <c r="G2" s="587"/>
      <c r="H2" s="587"/>
    </row>
    <row r="3" spans="2:8" x14ac:dyDescent="0.25">
      <c r="B3" s="588"/>
      <c r="C3" s="588"/>
      <c r="D3" s="588"/>
      <c r="E3" s="588"/>
      <c r="F3" s="588"/>
      <c r="G3" s="588"/>
      <c r="H3" s="588"/>
    </row>
    <row r="4" spans="2:8" x14ac:dyDescent="0.25">
      <c r="B4" s="588"/>
      <c r="C4" s="588"/>
      <c r="D4" s="588"/>
      <c r="E4" s="588"/>
      <c r="F4" s="588"/>
      <c r="G4" s="588"/>
      <c r="H4" s="588"/>
    </row>
    <row r="5" spans="2:8" x14ac:dyDescent="0.25">
      <c r="B5" s="588"/>
      <c r="C5" s="588"/>
      <c r="D5" s="588"/>
      <c r="E5" s="588"/>
      <c r="F5" s="588"/>
      <c r="G5" s="588"/>
      <c r="H5" s="588"/>
    </row>
    <row r="6" spans="2:8" x14ac:dyDescent="0.25">
      <c r="B6" s="588"/>
      <c r="C6" s="588"/>
      <c r="D6" s="588"/>
      <c r="E6" s="588"/>
      <c r="F6" s="588"/>
      <c r="G6" s="588"/>
      <c r="H6" s="588"/>
    </row>
    <row r="7" spans="2:8" x14ac:dyDescent="0.25">
      <c r="B7" s="588"/>
      <c r="C7" s="588"/>
      <c r="D7" s="588"/>
      <c r="E7" s="588"/>
      <c r="F7" s="588"/>
      <c r="G7" s="588"/>
      <c r="H7" s="588"/>
    </row>
    <row r="8" spans="2:8" x14ac:dyDescent="0.25">
      <c r="B8" s="588"/>
      <c r="C8" s="588"/>
      <c r="D8" s="588"/>
      <c r="E8" s="588"/>
      <c r="F8" s="588"/>
      <c r="G8" s="588"/>
      <c r="H8" s="588"/>
    </row>
    <row r="9" spans="2:8" x14ac:dyDescent="0.25">
      <c r="B9" s="588"/>
      <c r="C9" s="588"/>
      <c r="D9" s="588"/>
      <c r="E9" s="588"/>
      <c r="F9" s="588"/>
      <c r="G9" s="588"/>
      <c r="H9" s="588"/>
    </row>
    <row r="10" spans="2:8" x14ac:dyDescent="0.25">
      <c r="B10" s="588"/>
      <c r="C10" s="588"/>
      <c r="D10" s="588"/>
      <c r="E10" s="588"/>
      <c r="F10" s="588"/>
      <c r="G10" s="588"/>
      <c r="H10" s="588"/>
    </row>
    <row r="11" spans="2:8" x14ac:dyDescent="0.25">
      <c r="B11" s="588"/>
      <c r="C11" s="588"/>
      <c r="D11" s="588"/>
      <c r="E11" s="588"/>
      <c r="F11" s="588"/>
      <c r="G11" s="588"/>
      <c r="H11" s="588"/>
    </row>
    <row r="12" spans="2:8" x14ac:dyDescent="0.25">
      <c r="B12" s="588"/>
      <c r="C12" s="588"/>
      <c r="D12" s="588"/>
      <c r="E12" s="588"/>
      <c r="F12" s="588"/>
      <c r="G12" s="588"/>
      <c r="H12" s="588"/>
    </row>
    <row r="13" spans="2:8" x14ac:dyDescent="0.25">
      <c r="B13" s="588"/>
      <c r="C13" s="588"/>
      <c r="D13" s="588"/>
      <c r="E13" s="588"/>
      <c r="F13" s="588"/>
      <c r="G13" s="588"/>
      <c r="H13" s="588"/>
    </row>
    <row r="14" spans="2:8" x14ac:dyDescent="0.25">
      <c r="B14" s="588"/>
      <c r="C14" s="588"/>
      <c r="D14" s="588"/>
      <c r="E14" s="588"/>
      <c r="F14" s="588"/>
      <c r="G14" s="588"/>
      <c r="H14" s="588"/>
    </row>
    <row r="15" spans="2:8" x14ac:dyDescent="0.25">
      <c r="B15" s="588"/>
      <c r="C15" s="588"/>
      <c r="D15" s="588"/>
      <c r="E15" s="588"/>
      <c r="F15" s="588"/>
      <c r="G15" s="588"/>
      <c r="H15" s="588"/>
    </row>
    <row r="16" spans="2:8" ht="72" customHeight="1" x14ac:dyDescent="0.25">
      <c r="B16" s="588"/>
      <c r="C16" s="588"/>
      <c r="D16" s="588"/>
      <c r="E16" s="588"/>
      <c r="F16" s="588"/>
      <c r="G16" s="588"/>
      <c r="H16" s="588"/>
    </row>
    <row r="17" spans="2:8" ht="37.5" customHeight="1" x14ac:dyDescent="0.25">
      <c r="B17" s="599" t="s">
        <v>681</v>
      </c>
      <c r="C17" s="599"/>
      <c r="D17" s="599"/>
      <c r="E17" s="599"/>
      <c r="F17" s="599"/>
      <c r="G17" s="599"/>
      <c r="H17" s="599"/>
    </row>
    <row r="20" spans="2:8" x14ac:dyDescent="0.25">
      <c r="B20" s="6"/>
      <c r="C20" s="600" t="s">
        <v>31</v>
      </c>
      <c r="D20" s="600"/>
      <c r="E20" s="600"/>
      <c r="F20" s="600"/>
    </row>
    <row r="21" spans="2:8" x14ac:dyDescent="0.25">
      <c r="B21" s="17"/>
      <c r="C21" s="600" t="s">
        <v>35</v>
      </c>
      <c r="D21" s="600"/>
      <c r="E21" s="600"/>
      <c r="F21" s="600"/>
    </row>
    <row r="22" spans="2:8" x14ac:dyDescent="0.25">
      <c r="B22" s="322" t="s">
        <v>42</v>
      </c>
      <c r="C22" s="322" t="s">
        <v>12</v>
      </c>
      <c r="D22" s="322" t="s">
        <v>11</v>
      </c>
      <c r="E22" s="322" t="s">
        <v>44</v>
      </c>
      <c r="F22" s="322" t="s">
        <v>9</v>
      </c>
    </row>
    <row r="23" spans="2:8" x14ac:dyDescent="0.25">
      <c r="B23" s="11">
        <v>2009</v>
      </c>
      <c r="C23" s="12">
        <f>'Tabla 4'!C5/'Tabla 4'!G5</f>
        <v>0.23568399996454351</v>
      </c>
      <c r="D23" s="12">
        <f>'Tabla 4'!D5/'Tabla 4'!G5</f>
        <v>0.14063106638340872</v>
      </c>
      <c r="E23" s="12" t="s">
        <v>57</v>
      </c>
      <c r="F23" s="12">
        <f t="shared" ref="F23:F37" si="0">+SUM(C23:E23)</f>
        <v>0.3763150663479522</v>
      </c>
    </row>
    <row r="24" spans="2:8" x14ac:dyDescent="0.25">
      <c r="B24" s="11">
        <v>2010</v>
      </c>
      <c r="C24" s="12">
        <f>'Tabla 4'!C6/'Tabla 4'!G6</f>
        <v>0.23353630379601611</v>
      </c>
      <c r="D24" s="12">
        <f>'Tabla 4'!D6/'Tabla 4'!G6</f>
        <v>0.21236810027104158</v>
      </c>
      <c r="E24" s="12" t="s">
        <v>57</v>
      </c>
      <c r="F24" s="12">
        <f t="shared" si="0"/>
        <v>0.44590440406705767</v>
      </c>
    </row>
    <row r="25" spans="2:8" x14ac:dyDescent="0.25">
      <c r="B25" s="11">
        <v>2011</v>
      </c>
      <c r="C25" s="12">
        <f>'Tabla 4'!C7/'Tabla 4'!G7</f>
        <v>0.2253511411740492</v>
      </c>
      <c r="D25" s="12">
        <f>'Tabla 4'!D7/'Tabla 4'!G7</f>
        <v>0.24297077949168663</v>
      </c>
      <c r="E25" s="12" t="s">
        <v>57</v>
      </c>
      <c r="F25" s="12">
        <f t="shared" si="0"/>
        <v>0.46832192066573586</v>
      </c>
    </row>
    <row r="26" spans="2:8" x14ac:dyDescent="0.25">
      <c r="B26" s="11">
        <v>2012</v>
      </c>
      <c r="C26" s="12">
        <f>'Tabla 4'!C8/'Tabla 4'!G8</f>
        <v>0.21884869794824124</v>
      </c>
      <c r="D26" s="12">
        <f>'Tabla 4'!D8/'Tabla 4'!G8</f>
        <v>0.29093103773457812</v>
      </c>
      <c r="E26" s="12" t="s">
        <v>57</v>
      </c>
      <c r="F26" s="12">
        <f t="shared" si="0"/>
        <v>0.50977973568281931</v>
      </c>
    </row>
    <row r="27" spans="2:8" x14ac:dyDescent="0.25">
      <c r="B27" s="11">
        <v>2013</v>
      </c>
      <c r="C27" s="12">
        <f>'Tabla 4'!C9/'Tabla 4'!G9</f>
        <v>0.20854010788961685</v>
      </c>
      <c r="D27" s="12">
        <f>'Tabla 4'!D9/'Tabla 4'!G9</f>
        <v>0.3053852706268515</v>
      </c>
      <c r="E27" s="12" t="s">
        <v>57</v>
      </c>
      <c r="F27" s="12">
        <f t="shared" si="0"/>
        <v>0.51392537851646836</v>
      </c>
    </row>
    <row r="28" spans="2:8" x14ac:dyDescent="0.25">
      <c r="B28" s="11">
        <v>2014</v>
      </c>
      <c r="C28" s="12">
        <f>'Tabla 4'!C10/'Tabla 4'!G10</f>
        <v>0.20162289827645494</v>
      </c>
      <c r="D28" s="12">
        <f>'Tabla 4'!D10/'Tabla 4'!G10</f>
        <v>0.31913067267702921</v>
      </c>
      <c r="E28" s="12" t="s">
        <v>57</v>
      </c>
      <c r="F28" s="12">
        <f t="shared" si="0"/>
        <v>0.52075357095348418</v>
      </c>
    </row>
    <row r="29" spans="2:8" x14ac:dyDescent="0.25">
      <c r="B29" s="11">
        <v>2015</v>
      </c>
      <c r="C29" s="12">
        <f>'Tabla 4'!C11/'Tabla 4'!G11</f>
        <v>0.19314403785973933</v>
      </c>
      <c r="D29" s="12">
        <f>'Tabla 4'!D11/'Tabla 4'!G11</f>
        <v>0.33188137939169737</v>
      </c>
      <c r="E29" s="12" t="s">
        <v>57</v>
      </c>
      <c r="F29" s="12">
        <f t="shared" si="0"/>
        <v>0.5250254172514367</v>
      </c>
    </row>
    <row r="30" spans="2:8" x14ac:dyDescent="0.25">
      <c r="B30" s="11">
        <v>2016</v>
      </c>
      <c r="C30" s="12">
        <f>'Tabla 4'!C12/'Tabla 4'!G12</f>
        <v>0.18547195083993714</v>
      </c>
      <c r="D30" s="12">
        <f>'Tabla 4'!D12/'Tabla 4'!G12</f>
        <v>0.33765627129967751</v>
      </c>
      <c r="E30" s="12" t="s">
        <v>57</v>
      </c>
      <c r="F30" s="12">
        <f t="shared" si="0"/>
        <v>0.52312822213961463</v>
      </c>
    </row>
    <row r="31" spans="2:8" x14ac:dyDescent="0.25">
      <c r="B31" s="11">
        <v>2017</v>
      </c>
      <c r="C31" s="12">
        <f>'Tabla 4'!C13/'Tabla 4'!G13</f>
        <v>0.17872273036760936</v>
      </c>
      <c r="D31" s="12">
        <f>'Tabla 4'!D13/'Tabla 4'!G13</f>
        <v>0.34628977320004545</v>
      </c>
      <c r="E31" s="12" t="s">
        <v>57</v>
      </c>
      <c r="F31" s="12">
        <f t="shared" si="0"/>
        <v>0.52501250356765483</v>
      </c>
    </row>
    <row r="32" spans="2:8" x14ac:dyDescent="0.25">
      <c r="B32" s="11">
        <v>2018</v>
      </c>
      <c r="C32" s="12">
        <f>'Tabla 4'!C14/'Tabla 4'!G14</f>
        <v>0.17405850392026373</v>
      </c>
      <c r="D32" s="12">
        <f>'Tabla 4'!D14/'Tabla 4'!G14</f>
        <v>0.36737395278120477</v>
      </c>
      <c r="E32" s="12" t="s">
        <v>57</v>
      </c>
      <c r="F32" s="12">
        <f t="shared" si="0"/>
        <v>0.54143245670146856</v>
      </c>
    </row>
    <row r="33" spans="2:6" x14ac:dyDescent="0.25">
      <c r="B33" s="11">
        <v>2019</v>
      </c>
      <c r="C33" s="12">
        <f>'Tabla 4'!C15/'Tabla 4'!G15</f>
        <v>0.16893558372721038</v>
      </c>
      <c r="D33" s="12">
        <f>'Tabla 4'!D15/'Tabla 4'!G15</f>
        <v>0.37932920621864358</v>
      </c>
      <c r="E33" s="12" t="s">
        <v>57</v>
      </c>
      <c r="F33" s="12">
        <f t="shared" si="0"/>
        <v>0.54826478994585393</v>
      </c>
    </row>
    <row r="34" spans="2:6" x14ac:dyDescent="0.25">
      <c r="B34" s="11">
        <v>2020</v>
      </c>
      <c r="C34" s="12">
        <f>'Tabla 4'!C16/'Tabla 4'!G16</f>
        <v>0.16401142054626694</v>
      </c>
      <c r="D34" s="12">
        <f>'Tabla 4'!D16/'Tabla 4'!G16</f>
        <v>0.41695226761174492</v>
      </c>
      <c r="E34" s="12" t="s">
        <v>57</v>
      </c>
      <c r="F34" s="12">
        <f t="shared" si="0"/>
        <v>0.5809636881580118</v>
      </c>
    </row>
    <row r="35" spans="2:6" x14ac:dyDescent="0.25">
      <c r="B35" s="11">
        <v>2021</v>
      </c>
      <c r="C35" s="12">
        <f>'Tabla 4'!C17/'Tabla 4'!G17</f>
        <v>0.16156391421609134</v>
      </c>
      <c r="D35" s="12">
        <f>'Tabla 4'!D17/'Tabla 4'!G17</f>
        <v>0.44836981896080524</v>
      </c>
      <c r="E35" s="12" t="s">
        <v>57</v>
      </c>
      <c r="F35" s="12">
        <f t="shared" si="0"/>
        <v>0.60993373317689659</v>
      </c>
    </row>
    <row r="36" spans="2:6" x14ac:dyDescent="0.25">
      <c r="B36" s="11">
        <v>2022</v>
      </c>
      <c r="C36" s="12">
        <v>0</v>
      </c>
      <c r="D36" s="12">
        <f>'Tabla 4'!D18/'Tabla 4'!G18</f>
        <v>6.5178877650912043E-2</v>
      </c>
      <c r="E36" s="12">
        <f>'Tabla 4'!E18/'Tabla 4'!G18</f>
        <v>0.66917458031721222</v>
      </c>
      <c r="F36" s="12">
        <f t="shared" si="0"/>
        <v>0.73435345796812423</v>
      </c>
    </row>
    <row r="37" spans="2:6" x14ac:dyDescent="0.25">
      <c r="B37" s="11">
        <v>2023</v>
      </c>
      <c r="C37" s="12">
        <v>0</v>
      </c>
      <c r="D37" s="12">
        <f>'Tabla 4'!D19/'Tabla 4'!G19</f>
        <v>6.0602292419088516E-2</v>
      </c>
      <c r="E37" s="12">
        <f>'Tabla 4'!E19/'Tabla 4'!G19</f>
        <v>0.72228778057190868</v>
      </c>
      <c r="F37" s="12">
        <f t="shared" si="0"/>
        <v>0.78289007299099722</v>
      </c>
    </row>
    <row r="38" spans="2:6" x14ac:dyDescent="0.25">
      <c r="B38" s="11">
        <v>2024</v>
      </c>
      <c r="C38" s="12">
        <v>0</v>
      </c>
      <c r="D38" s="12">
        <f>'Tabla 4'!D20/'Tabla 4'!G20</f>
        <v>5.6006106958227997E-2</v>
      </c>
      <c r="E38" s="12">
        <f>'Tabla 4'!E20/'Tabla 4'!G20</f>
        <v>0.74360862326682198</v>
      </c>
      <c r="F38" s="12">
        <f t="shared" ref="F38" si="1">+SUM(C38:E38)</f>
        <v>0.79961473022505003</v>
      </c>
    </row>
    <row r="39" spans="2:6" x14ac:dyDescent="0.25">
      <c r="B39" s="11">
        <v>2025</v>
      </c>
      <c r="C39" s="12">
        <v>0</v>
      </c>
      <c r="D39" s="12">
        <f>'Tabla 4'!D21/'Tabla 4'!G21</f>
        <v>5.2023819008083748E-2</v>
      </c>
      <c r="E39" s="12">
        <f>'Tabla 4'!E21/'Tabla 4'!G21</f>
        <v>0.76044573344475541</v>
      </c>
      <c r="F39" s="12">
        <f t="shared" ref="F39" si="2">+SUM(C39:E39)</f>
        <v>0.81246955245283914</v>
      </c>
    </row>
  </sheetData>
  <mergeCells count="5">
    <mergeCell ref="B2:H2"/>
    <mergeCell ref="B3:H16"/>
    <mergeCell ref="B17:H17"/>
    <mergeCell ref="C21:F21"/>
    <mergeCell ref="C20:F20"/>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31371-2F90-4177-B8AF-5B1703E6651B}">
  <sheetPr>
    <tabColor rgb="FFFFC000"/>
  </sheetPr>
  <dimension ref="B2:H39"/>
  <sheetViews>
    <sheetView showGridLines="0" zoomScaleNormal="100" workbookViewId="0"/>
    <sheetView workbookViewId="1"/>
  </sheetViews>
  <sheetFormatPr baseColWidth="10" defaultRowHeight="15" x14ac:dyDescent="0.25"/>
  <cols>
    <col min="1" max="1" width="6.28515625" customWidth="1"/>
    <col min="2" max="2" width="14" customWidth="1"/>
    <col min="8" max="8" width="14.85546875" customWidth="1"/>
  </cols>
  <sheetData>
    <row r="2" spans="2:8" x14ac:dyDescent="0.25">
      <c r="B2" s="587" t="s">
        <v>652</v>
      </c>
      <c r="C2" s="587"/>
      <c r="D2" s="587"/>
      <c r="E2" s="587"/>
      <c r="F2" s="587"/>
      <c r="G2" s="587"/>
      <c r="H2" s="587"/>
    </row>
    <row r="3" spans="2:8" x14ac:dyDescent="0.25">
      <c r="B3" s="588"/>
      <c r="C3" s="588"/>
      <c r="D3" s="588"/>
      <c r="E3" s="588"/>
      <c r="F3" s="588"/>
      <c r="G3" s="588"/>
      <c r="H3" s="588"/>
    </row>
    <row r="4" spans="2:8" x14ac:dyDescent="0.25">
      <c r="B4" s="588"/>
      <c r="C4" s="588"/>
      <c r="D4" s="588"/>
      <c r="E4" s="588"/>
      <c r="F4" s="588"/>
      <c r="G4" s="588"/>
      <c r="H4" s="588"/>
    </row>
    <row r="5" spans="2:8" x14ac:dyDescent="0.25">
      <c r="B5" s="588"/>
      <c r="C5" s="588"/>
      <c r="D5" s="588"/>
      <c r="E5" s="588"/>
      <c r="F5" s="588"/>
      <c r="G5" s="588"/>
      <c r="H5" s="588"/>
    </row>
    <row r="6" spans="2:8" x14ac:dyDescent="0.25">
      <c r="B6" s="588"/>
      <c r="C6" s="588"/>
      <c r="D6" s="588"/>
      <c r="E6" s="588"/>
      <c r="F6" s="588"/>
      <c r="G6" s="588"/>
      <c r="H6" s="588"/>
    </row>
    <row r="7" spans="2:8" x14ac:dyDescent="0.25">
      <c r="B7" s="588"/>
      <c r="C7" s="588"/>
      <c r="D7" s="588"/>
      <c r="E7" s="588"/>
      <c r="F7" s="588"/>
      <c r="G7" s="588"/>
      <c r="H7" s="588"/>
    </row>
    <row r="8" spans="2:8" x14ac:dyDescent="0.25">
      <c r="B8" s="588"/>
      <c r="C8" s="588"/>
      <c r="D8" s="588"/>
      <c r="E8" s="588"/>
      <c r="F8" s="588"/>
      <c r="G8" s="588"/>
      <c r="H8" s="588"/>
    </row>
    <row r="9" spans="2:8" x14ac:dyDescent="0.25">
      <c r="B9" s="588"/>
      <c r="C9" s="588"/>
      <c r="D9" s="588"/>
      <c r="E9" s="588"/>
      <c r="F9" s="588"/>
      <c r="G9" s="588"/>
      <c r="H9" s="588"/>
    </row>
    <row r="10" spans="2:8" x14ac:dyDescent="0.25">
      <c r="B10" s="588"/>
      <c r="C10" s="588"/>
      <c r="D10" s="588"/>
      <c r="E10" s="588"/>
      <c r="F10" s="588"/>
      <c r="G10" s="588"/>
      <c r="H10" s="588"/>
    </row>
    <row r="11" spans="2:8" x14ac:dyDescent="0.25">
      <c r="B11" s="588"/>
      <c r="C11" s="588"/>
      <c r="D11" s="588"/>
      <c r="E11" s="588"/>
      <c r="F11" s="588"/>
      <c r="G11" s="588"/>
      <c r="H11" s="588"/>
    </row>
    <row r="12" spans="2:8" x14ac:dyDescent="0.25">
      <c r="B12" s="588"/>
      <c r="C12" s="588"/>
      <c r="D12" s="588"/>
      <c r="E12" s="588"/>
      <c r="F12" s="588"/>
      <c r="G12" s="588"/>
      <c r="H12" s="588"/>
    </row>
    <row r="13" spans="2:8" x14ac:dyDescent="0.25">
      <c r="B13" s="588"/>
      <c r="C13" s="588"/>
      <c r="D13" s="588"/>
      <c r="E13" s="588"/>
      <c r="F13" s="588"/>
      <c r="G13" s="588"/>
      <c r="H13" s="588"/>
    </row>
    <row r="14" spans="2:8" x14ac:dyDescent="0.25">
      <c r="B14" s="588"/>
      <c r="C14" s="588"/>
      <c r="D14" s="588"/>
      <c r="E14" s="588"/>
      <c r="F14" s="588"/>
      <c r="G14" s="588"/>
      <c r="H14" s="588"/>
    </row>
    <row r="15" spans="2:8" ht="36" customHeight="1" x14ac:dyDescent="0.25">
      <c r="B15" s="588"/>
      <c r="C15" s="588"/>
      <c r="D15" s="588"/>
      <c r="E15" s="588"/>
      <c r="F15" s="588"/>
      <c r="G15" s="588"/>
      <c r="H15" s="588"/>
    </row>
    <row r="16" spans="2:8" ht="55.15" customHeight="1" x14ac:dyDescent="0.25">
      <c r="B16" s="588"/>
      <c r="C16" s="588"/>
      <c r="D16" s="588"/>
      <c r="E16" s="588"/>
      <c r="F16" s="588"/>
      <c r="G16" s="588"/>
      <c r="H16" s="588"/>
    </row>
    <row r="18" spans="2:8" x14ac:dyDescent="0.25">
      <c r="B18" s="589" t="s">
        <v>680</v>
      </c>
      <c r="C18" s="589"/>
      <c r="D18" s="589"/>
      <c r="E18" s="589"/>
      <c r="F18" s="589"/>
      <c r="G18" s="589"/>
      <c r="H18" s="589"/>
    </row>
    <row r="21" spans="2:8" ht="38.25" x14ac:dyDescent="0.25">
      <c r="B21" s="322" t="s">
        <v>135</v>
      </c>
      <c r="C21" s="451" t="s">
        <v>698</v>
      </c>
      <c r="D21" s="451" t="s">
        <v>144</v>
      </c>
    </row>
    <row r="22" spans="2:8" x14ac:dyDescent="0.25">
      <c r="B22" s="323">
        <v>2008</v>
      </c>
      <c r="C22" s="66">
        <f>VLOOKUP($B22,'Tabla 8'!$B$4:$L$1048576,10,FALSE)</f>
        <v>366980.16891042632</v>
      </c>
      <c r="D22" s="64">
        <f>VLOOKUP($B22,'Tabla 8'!$B$4:$L$1048576,11,FALSE)</f>
        <v>2.0130867473433628E-3</v>
      </c>
    </row>
    <row r="23" spans="2:8" x14ac:dyDescent="0.25">
      <c r="B23" s="323">
        <v>2009</v>
      </c>
      <c r="C23" s="66">
        <f>VLOOKUP($B23,'Tabla 8'!$B$4:$L$1048576,10,FALSE)</f>
        <v>994540.1410692198</v>
      </c>
      <c r="D23" s="64">
        <f>VLOOKUP($B23,'Tabla 8'!$B$4:$L$1048576,11,FALSE)</f>
        <v>5.4774924170145232E-3</v>
      </c>
    </row>
    <row r="24" spans="2:8" x14ac:dyDescent="0.25">
      <c r="B24" s="323">
        <v>2010</v>
      </c>
      <c r="C24" s="66">
        <f>VLOOKUP($B24,'Tabla 8'!$B$4:$L$1048576,10,FALSE)</f>
        <v>1321092.4913916036</v>
      </c>
      <c r="D24" s="64">
        <f>VLOOKUP($B24,'Tabla 8'!$B$4:$L$1048576,11,FALSE)</f>
        <v>6.3638857369463205E-3</v>
      </c>
    </row>
    <row r="25" spans="2:8" x14ac:dyDescent="0.25">
      <c r="B25" s="323">
        <v>2011</v>
      </c>
      <c r="C25" s="66">
        <f>VLOOKUP($B25,'Tabla 8'!$B$4:$L$1048576,10,FALSE)</f>
        <v>1485354.2364942771</v>
      </c>
      <c r="D25" s="64">
        <f>VLOOKUP($B25,'Tabla 8'!$B$4:$L$1048576,11,FALSE)</f>
        <v>6.7310747730596841E-3</v>
      </c>
    </row>
    <row r="26" spans="2:8" x14ac:dyDescent="0.25">
      <c r="B26" s="323">
        <v>2012</v>
      </c>
      <c r="C26" s="66">
        <f>VLOOKUP($B26,'Tabla 8'!$B$4:$L$1048576,10,FALSE)</f>
        <v>1595521.7855966873</v>
      </c>
      <c r="D26" s="64">
        <f>VLOOKUP($B26,'Tabla 8'!$B$4:$L$1048576,11,FALSE)</f>
        <v>6.992282925833238E-3</v>
      </c>
    </row>
    <row r="27" spans="2:8" x14ac:dyDescent="0.25">
      <c r="B27" s="323">
        <v>2013</v>
      </c>
      <c r="C27" s="66">
        <f>VLOOKUP($B27,'Tabla 8'!$B$4:$L$1048576,10,FALSE)</f>
        <v>1664462.4260138352</v>
      </c>
      <c r="D27" s="64">
        <f>VLOOKUP($B27,'Tabla 8'!$B$4:$L$1048576,11,FALSE)</f>
        <v>7.0214338774907594E-3</v>
      </c>
    </row>
    <row r="28" spans="2:8" x14ac:dyDescent="0.25">
      <c r="B28" s="323">
        <v>2014</v>
      </c>
      <c r="C28" s="66">
        <f>VLOOKUP($B28,'Tabla 8'!$B$4:$L$1048576,10,FALSE)</f>
        <v>1709944.2670263681</v>
      </c>
      <c r="D28" s="64">
        <f>VLOOKUP($B28,'Tabla 8'!$B$4:$L$1048576,11,FALSE)</f>
        <v>6.979837809028837E-3</v>
      </c>
    </row>
    <row r="29" spans="2:8" x14ac:dyDescent="0.25">
      <c r="B29" s="323">
        <v>2015</v>
      </c>
      <c r="C29" s="66">
        <f>VLOOKUP($B29,'Tabla 8'!$B$4:$L$1048576,10,FALSE)</f>
        <v>1778174.8234969608</v>
      </c>
      <c r="D29" s="64">
        <f>VLOOKUP($B29,'Tabla 8'!$B$4:$L$1048576,11,FALSE)</f>
        <v>7.0699270574187479E-3</v>
      </c>
    </row>
    <row r="30" spans="2:8" x14ac:dyDescent="0.25">
      <c r="B30" s="323">
        <v>2016</v>
      </c>
      <c r="C30" s="66">
        <f>VLOOKUP($B30,'Tabla 8'!$B$4:$L$1048576,10,FALSE)</f>
        <v>1844312.4972324159</v>
      </c>
      <c r="D30" s="64">
        <f>VLOOKUP($B30,'Tabla 8'!$B$4:$L$1048576,11,FALSE)</f>
        <v>7.1678560609699767E-3</v>
      </c>
    </row>
    <row r="31" spans="2:8" x14ac:dyDescent="0.25">
      <c r="B31" s="323">
        <v>2017</v>
      </c>
      <c r="C31" s="66">
        <f>VLOOKUP($B31,'Tabla 8'!$B$4:$L$1048576,10,FALSE)</f>
        <v>2107355.6443631337</v>
      </c>
      <c r="D31" s="64">
        <f>VLOOKUP($B31,'Tabla 8'!$B$4:$L$1048576,11,FALSE)</f>
        <v>7.8709813163413793E-3</v>
      </c>
    </row>
    <row r="32" spans="2:8" x14ac:dyDescent="0.25">
      <c r="B32" s="323">
        <v>2018</v>
      </c>
      <c r="C32" s="66">
        <f>VLOOKUP($B32,'Tabla 8'!$B$4:$L$1048576,10,FALSE)</f>
        <v>2215806.9750174964</v>
      </c>
      <c r="D32" s="64">
        <f>VLOOKUP($B32,'Tabla 8'!$B$4:$L$1048576,11,FALSE)</f>
        <v>8.0089957052014386E-3</v>
      </c>
    </row>
    <row r="33" spans="2:4" x14ac:dyDescent="0.25">
      <c r="B33" s="323">
        <v>2019</v>
      </c>
      <c r="C33" s="66">
        <f>VLOOKUP($B33,'Tabla 8'!$B$4:$L$1048576,10,FALSE)</f>
        <v>2405703.7101461906</v>
      </c>
      <c r="D33" s="64">
        <f>VLOOKUP($B33,'Tabla 8'!$B$4:$L$1048576,11,FALSE)</f>
        <v>8.637797261648119E-3</v>
      </c>
    </row>
    <row r="34" spans="2:4" x14ac:dyDescent="0.25">
      <c r="B34" s="323">
        <v>2020</v>
      </c>
      <c r="C34" s="66">
        <f>VLOOKUP($B34,'Tabla 8'!$B$4:$L$1048576,10,FALSE)</f>
        <v>3374222.9769143681</v>
      </c>
      <c r="D34" s="64">
        <f>VLOOKUP($B34,'Tabla 8'!$B$4:$L$1048576,11,FALSE)</f>
        <v>1.2118999945376043E-2</v>
      </c>
    </row>
    <row r="35" spans="2:4" x14ac:dyDescent="0.25">
      <c r="B35" s="323">
        <v>2021</v>
      </c>
      <c r="C35" s="66">
        <f>VLOOKUP($B35,'Tabla 8'!$B$4:$L$1048576,10,FALSE)</f>
        <v>3963323.8958262005</v>
      </c>
      <c r="D35" s="64">
        <f>VLOOKUP($B35,'Tabla 8'!$B$4:$L$1048576,11,FALSE)</f>
        <v>1.2435004366642983E-2</v>
      </c>
    </row>
    <row r="36" spans="2:4" x14ac:dyDescent="0.25">
      <c r="B36" s="323">
        <v>2022</v>
      </c>
      <c r="C36" s="66">
        <f>VLOOKUP($B36,'Tabla 8'!$B$4:$L$1048576,10,FALSE)</f>
        <v>5363799.0942391101</v>
      </c>
      <c r="D36" s="64">
        <f>VLOOKUP($B36,'Tabla 8'!$B$4:$L$1048576,11,FALSE)</f>
        <v>1.6983492983589442E-2</v>
      </c>
    </row>
    <row r="37" spans="2:4" x14ac:dyDescent="0.25">
      <c r="B37" s="323">
        <v>2023</v>
      </c>
      <c r="C37" s="66">
        <f>VLOOKUP($B37,'Tabla 8'!$B$4:$L$1048576,10,FALSE)</f>
        <v>6327168.335714872</v>
      </c>
      <c r="D37" s="64">
        <f>VLOOKUP($B37,'Tabla 8'!$B$4:$L$1048576,11,FALSE)</f>
        <v>2.0354357365197768E-2</v>
      </c>
    </row>
    <row r="38" spans="2:4" x14ac:dyDescent="0.25">
      <c r="B38" s="323">
        <v>2024</v>
      </c>
      <c r="C38" s="66">
        <f>VLOOKUP($B38,'Tabla 8'!$B$4:$L$1048576,10,FALSE)</f>
        <v>6744591.8760332363</v>
      </c>
      <c r="D38" s="64">
        <f>VLOOKUP($B38,'Tabla 8'!$B$4:$L$1048576,11,FALSE)</f>
        <v>2.0460961625322637E-2</v>
      </c>
    </row>
    <row r="39" spans="2:4" x14ac:dyDescent="0.25">
      <c r="B39" s="323">
        <v>2025</v>
      </c>
      <c r="C39" s="66">
        <f>VLOOKUP($B39,'Tabla 8'!$B$4:$L$1048576,10,FALSE)</f>
        <v>7154522.6211330201</v>
      </c>
      <c r="D39" s="64">
        <f>VLOOKUP($B39,'Tabla 8'!$B$4:$L$1048576,11,FALSE)</f>
        <v>2.1047775159991507E-2</v>
      </c>
    </row>
  </sheetData>
  <mergeCells count="3">
    <mergeCell ref="B2:H2"/>
    <mergeCell ref="B3:H16"/>
    <mergeCell ref="B18:H18"/>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386F8-33AD-4616-B116-476274DCFAF7}">
  <sheetPr>
    <tabColor rgb="FFFFC000"/>
  </sheetPr>
  <dimension ref="B1:H39"/>
  <sheetViews>
    <sheetView showGridLines="0" workbookViewId="0"/>
    <sheetView workbookViewId="1"/>
  </sheetViews>
  <sheetFormatPr baseColWidth="10" defaultRowHeight="15" x14ac:dyDescent="0.25"/>
  <cols>
    <col min="1" max="1" width="7" customWidth="1"/>
    <col min="8" max="8" width="14.85546875" customWidth="1"/>
  </cols>
  <sheetData>
    <row r="1" spans="2:8" ht="31.9" customHeight="1" x14ac:dyDescent="0.25"/>
    <row r="2" spans="2:8" ht="30.75" customHeight="1" x14ac:dyDescent="0.25">
      <c r="B2" s="534" t="s">
        <v>699</v>
      </c>
      <c r="C2" s="534"/>
      <c r="D2" s="534"/>
      <c r="E2" s="534"/>
      <c r="F2" s="534"/>
      <c r="G2" s="534"/>
      <c r="H2" s="534"/>
    </row>
    <row r="3" spans="2:8" x14ac:dyDescent="0.25">
      <c r="B3" s="588"/>
      <c r="C3" s="588"/>
      <c r="D3" s="588"/>
      <c r="E3" s="588"/>
      <c r="F3" s="588"/>
      <c r="G3" s="588"/>
      <c r="H3" s="588"/>
    </row>
    <row r="4" spans="2:8" x14ac:dyDescent="0.25">
      <c r="B4" s="588"/>
      <c r="C4" s="588"/>
      <c r="D4" s="588"/>
      <c r="E4" s="588"/>
      <c r="F4" s="588"/>
      <c r="G4" s="588"/>
      <c r="H4" s="588"/>
    </row>
    <row r="5" spans="2:8" x14ac:dyDescent="0.25">
      <c r="B5" s="588"/>
      <c r="C5" s="588"/>
      <c r="D5" s="588"/>
      <c r="E5" s="588"/>
      <c r="F5" s="588"/>
      <c r="G5" s="588"/>
      <c r="H5" s="588"/>
    </row>
    <row r="6" spans="2:8" x14ac:dyDescent="0.25">
      <c r="B6" s="588"/>
      <c r="C6" s="588"/>
      <c r="D6" s="588"/>
      <c r="E6" s="588"/>
      <c r="F6" s="588"/>
      <c r="G6" s="588"/>
      <c r="H6" s="588"/>
    </row>
    <row r="7" spans="2:8" x14ac:dyDescent="0.25">
      <c r="B7" s="588"/>
      <c r="C7" s="588"/>
      <c r="D7" s="588"/>
      <c r="E7" s="588"/>
      <c r="F7" s="588"/>
      <c r="G7" s="588"/>
      <c r="H7" s="588"/>
    </row>
    <row r="8" spans="2:8" x14ac:dyDescent="0.25">
      <c r="B8" s="588"/>
      <c r="C8" s="588"/>
      <c r="D8" s="588"/>
      <c r="E8" s="588"/>
      <c r="F8" s="588"/>
      <c r="G8" s="588"/>
      <c r="H8" s="588"/>
    </row>
    <row r="9" spans="2:8" x14ac:dyDescent="0.25">
      <c r="B9" s="588"/>
      <c r="C9" s="588"/>
      <c r="D9" s="588"/>
      <c r="E9" s="588"/>
      <c r="F9" s="588"/>
      <c r="G9" s="588"/>
      <c r="H9" s="588"/>
    </row>
    <row r="10" spans="2:8" x14ac:dyDescent="0.25">
      <c r="B10" s="588"/>
      <c r="C10" s="588"/>
      <c r="D10" s="588"/>
      <c r="E10" s="588"/>
      <c r="F10" s="588"/>
      <c r="G10" s="588"/>
      <c r="H10" s="588"/>
    </row>
    <row r="11" spans="2:8" x14ac:dyDescent="0.25">
      <c r="B11" s="588"/>
      <c r="C11" s="588"/>
      <c r="D11" s="588"/>
      <c r="E11" s="588"/>
      <c r="F11" s="588"/>
      <c r="G11" s="588"/>
      <c r="H11" s="588"/>
    </row>
    <row r="12" spans="2:8" x14ac:dyDescent="0.25">
      <c r="B12" s="588"/>
      <c r="C12" s="588"/>
      <c r="D12" s="588"/>
      <c r="E12" s="588"/>
      <c r="F12" s="588"/>
      <c r="G12" s="588"/>
      <c r="H12" s="588"/>
    </row>
    <row r="13" spans="2:8" x14ac:dyDescent="0.25">
      <c r="B13" s="588"/>
      <c r="C13" s="588"/>
      <c r="D13" s="588"/>
      <c r="E13" s="588"/>
      <c r="F13" s="588"/>
      <c r="G13" s="588"/>
      <c r="H13" s="588"/>
    </row>
    <row r="14" spans="2:8" x14ac:dyDescent="0.25">
      <c r="B14" s="588"/>
      <c r="C14" s="588"/>
      <c r="D14" s="588"/>
      <c r="E14" s="588"/>
      <c r="F14" s="588"/>
      <c r="G14" s="588"/>
      <c r="H14" s="588"/>
    </row>
    <row r="15" spans="2:8" ht="83.45" customHeight="1" x14ac:dyDescent="0.25">
      <c r="B15" s="588"/>
      <c r="C15" s="588"/>
      <c r="D15" s="588"/>
      <c r="E15" s="588"/>
      <c r="F15" s="588"/>
      <c r="G15" s="588"/>
      <c r="H15" s="588"/>
    </row>
    <row r="16" spans="2:8" x14ac:dyDescent="0.25">
      <c r="B16" s="588"/>
      <c r="C16" s="588"/>
      <c r="D16" s="588"/>
      <c r="E16" s="588"/>
      <c r="F16" s="588"/>
      <c r="G16" s="588"/>
      <c r="H16" s="588"/>
    </row>
    <row r="17" spans="2:8" ht="17.25" customHeight="1" x14ac:dyDescent="0.25">
      <c r="B17" s="601" t="s">
        <v>680</v>
      </c>
      <c r="C17" s="601"/>
      <c r="D17" s="601"/>
      <c r="E17" s="601"/>
      <c r="F17" s="601"/>
      <c r="G17" s="601"/>
      <c r="H17" s="601"/>
    </row>
    <row r="21" spans="2:8" x14ac:dyDescent="0.25">
      <c r="B21" s="322" t="s">
        <v>6</v>
      </c>
      <c r="C21" s="322" t="s">
        <v>128</v>
      </c>
      <c r="D21" s="322" t="s">
        <v>95</v>
      </c>
      <c r="E21" s="322" t="s">
        <v>5</v>
      </c>
      <c r="F21" s="322" t="s">
        <v>634</v>
      </c>
      <c r="G21" s="322" t="s">
        <v>635</v>
      </c>
    </row>
    <row r="22" spans="2:8" x14ac:dyDescent="0.25">
      <c r="B22" s="328">
        <v>2008</v>
      </c>
      <c r="C22" s="329">
        <f>VLOOKUP($B22,'Tabla 7'!$B$4:$L$1048576,9,FALSE)</f>
        <v>120135.7295300738</v>
      </c>
      <c r="D22" s="329">
        <f>VLOOKUP($B22,'Tabla 7'!$B$4:$L$1048576,4,FALSE)</f>
        <v>68826.9283655084</v>
      </c>
      <c r="E22" s="329">
        <f>VLOOKUP($B22,'Tabla 7'!$B$4:$L$1048576,10,FALSE)</f>
        <v>188962.6578955822</v>
      </c>
      <c r="F22" s="330">
        <f t="shared" ref="F22:F38" si="0">C22/E22</f>
        <v>0.63576439317687261</v>
      </c>
      <c r="G22" s="330">
        <f t="shared" ref="G22:G38" si="1">D22/E22</f>
        <v>0.36423560682312733</v>
      </c>
    </row>
    <row r="23" spans="2:8" x14ac:dyDescent="0.25">
      <c r="B23" s="328">
        <v>2009</v>
      </c>
      <c r="C23" s="329">
        <f>VLOOKUP($B23,'Tabla 7'!$B$4:$L$1048576,9,FALSE)</f>
        <v>343616.96478830237</v>
      </c>
      <c r="D23" s="329">
        <f>VLOOKUP($B23,'Tabla 7'!$B$4:$L$1048576,4,FALSE)</f>
        <v>182980.81548208874</v>
      </c>
      <c r="E23" s="329">
        <f>VLOOKUP($B23,'Tabla 7'!$B$4:$L$1048576,10,FALSE)</f>
        <v>526597.78027039114</v>
      </c>
      <c r="F23" s="330">
        <f t="shared" si="0"/>
        <v>0.65252262288661</v>
      </c>
      <c r="G23" s="330">
        <f t="shared" si="1"/>
        <v>0.34747737711338994</v>
      </c>
    </row>
    <row r="24" spans="2:8" x14ac:dyDescent="0.25">
      <c r="B24" s="328">
        <v>2010</v>
      </c>
      <c r="C24" s="329">
        <f>VLOOKUP($B24,'Tabla 7'!$B$4:$L$1048576,9,FALSE)</f>
        <v>488516.2880936595</v>
      </c>
      <c r="D24" s="329">
        <f>VLOOKUP($B24,'Tabla 7'!$B$4:$L$1048576,4,FALSE)</f>
        <v>216461.39890781243</v>
      </c>
      <c r="E24" s="329">
        <f>VLOOKUP($B24,'Tabla 7'!$B$4:$L$1048576,10,FALSE)</f>
        <v>704977.68700147187</v>
      </c>
      <c r="F24" s="330">
        <f t="shared" si="0"/>
        <v>0.69295283680749964</v>
      </c>
      <c r="G24" s="330">
        <f t="shared" si="1"/>
        <v>0.30704716319250042</v>
      </c>
    </row>
    <row r="25" spans="2:8" x14ac:dyDescent="0.25">
      <c r="B25" s="328">
        <v>2011</v>
      </c>
      <c r="C25" s="329">
        <f>VLOOKUP($B25,'Tabla 7'!$B$4:$L$1048576,9,FALSE)</f>
        <v>591187.40687787533</v>
      </c>
      <c r="D25" s="329">
        <f>VLOOKUP($B25,'Tabla 7'!$B$4:$L$1048576,4,FALSE)</f>
        <v>226700.7670419424</v>
      </c>
      <c r="E25" s="329">
        <f>VLOOKUP($B25,'Tabla 7'!$B$4:$L$1048576,10,FALSE)</f>
        <v>817888.17391981767</v>
      </c>
      <c r="F25" s="330">
        <f t="shared" si="0"/>
        <v>0.72282180587664646</v>
      </c>
      <c r="G25" s="330">
        <f t="shared" si="1"/>
        <v>0.27717819412335359</v>
      </c>
    </row>
    <row r="26" spans="2:8" x14ac:dyDescent="0.25">
      <c r="B26" s="328">
        <v>2012</v>
      </c>
      <c r="C26" s="329">
        <f>VLOOKUP($B26,'Tabla 7'!$B$4:$L$1048576,9,FALSE)</f>
        <v>674176.53018070152</v>
      </c>
      <c r="D26" s="329">
        <f>VLOOKUP($B26,'Tabla 7'!$B$4:$L$1048576,4,FALSE)</f>
        <v>234634.2138003991</v>
      </c>
      <c r="E26" s="329">
        <f>VLOOKUP($B26,'Tabla 7'!$B$4:$L$1048576,10,FALSE)</f>
        <v>908810.74398110062</v>
      </c>
      <c r="F26" s="330">
        <f t="shared" si="0"/>
        <v>0.74182279935141426</v>
      </c>
      <c r="G26" s="330">
        <f t="shared" si="1"/>
        <v>0.25817720064858574</v>
      </c>
    </row>
    <row r="27" spans="2:8" x14ac:dyDescent="0.25">
      <c r="B27" s="328">
        <v>2013</v>
      </c>
      <c r="C27" s="329">
        <f>VLOOKUP($B27,'Tabla 7'!$B$4:$L$1048576,9,FALSE)</f>
        <v>726331.39796695556</v>
      </c>
      <c r="D27" s="329">
        <f>VLOOKUP($B27,'Tabla 7'!$B$4:$L$1048576,4,FALSE)</f>
        <v>237776.01452020044</v>
      </c>
      <c r="E27" s="329">
        <f>VLOOKUP($B27,'Tabla 7'!$B$4:$L$1048576,10,FALSE)</f>
        <v>964107.41248715599</v>
      </c>
      <c r="F27" s="330">
        <f t="shared" si="0"/>
        <v>0.75337186350761709</v>
      </c>
      <c r="G27" s="330">
        <f t="shared" si="1"/>
        <v>0.24662813649238294</v>
      </c>
    </row>
    <row r="28" spans="2:8" x14ac:dyDescent="0.25">
      <c r="B28" s="328">
        <v>2014</v>
      </c>
      <c r="C28" s="329">
        <f>VLOOKUP($B28,'Tabla 7'!$B$4:$L$1048576,9,FALSE)</f>
        <v>785043.7984226204</v>
      </c>
      <c r="D28" s="329">
        <f>VLOOKUP($B28,'Tabla 7'!$B$4:$L$1048576,4,FALSE)</f>
        <v>247632.20966472029</v>
      </c>
      <c r="E28" s="329">
        <f>VLOOKUP($B28,'Tabla 7'!$B$4:$L$1048576,10,FALSE)</f>
        <v>1032676.0080873407</v>
      </c>
      <c r="F28" s="330">
        <f t="shared" si="0"/>
        <v>0.76020338641993868</v>
      </c>
      <c r="G28" s="330">
        <f t="shared" si="1"/>
        <v>0.23979661358006127</v>
      </c>
    </row>
    <row r="29" spans="2:8" x14ac:dyDescent="0.25">
      <c r="B29" s="328">
        <v>2015</v>
      </c>
      <c r="C29" s="329">
        <f>VLOOKUP($B29,'Tabla 7'!$B$4:$L$1048576,9,FALSE)</f>
        <v>861699.67198427254</v>
      </c>
      <c r="D29" s="329">
        <f>VLOOKUP($B29,'Tabla 7'!$B$4:$L$1048576,4,FALSE)</f>
        <v>259752.68081516158</v>
      </c>
      <c r="E29" s="329">
        <f>VLOOKUP($B29,'Tabla 7'!$B$4:$L$1048576,10,FALSE)</f>
        <v>1121452.3527994342</v>
      </c>
      <c r="F29" s="330">
        <f t="shared" si="0"/>
        <v>0.76837831748557839</v>
      </c>
      <c r="G29" s="330">
        <f t="shared" si="1"/>
        <v>0.23162168251442153</v>
      </c>
    </row>
    <row r="30" spans="2:8" x14ac:dyDescent="0.25">
      <c r="B30" s="328">
        <v>2016</v>
      </c>
      <c r="C30" s="329">
        <f>VLOOKUP($B30,'Tabla 7'!$B$4:$L$1048576,9,FALSE)</f>
        <v>937103.70871230843</v>
      </c>
      <c r="D30" s="329">
        <f>VLOOKUP($B30,'Tabla 7'!$B$4:$L$1048576,4,FALSE)</f>
        <v>272577.28244871506</v>
      </c>
      <c r="E30" s="329">
        <f>VLOOKUP($B30,'Tabla 7'!$B$4:$L$1048576,10,FALSE)</f>
        <v>1209680.9911610235</v>
      </c>
      <c r="F30" s="330">
        <f t="shared" si="0"/>
        <v>0.77467011183907108</v>
      </c>
      <c r="G30" s="330">
        <f t="shared" si="1"/>
        <v>0.22532988816092892</v>
      </c>
    </row>
    <row r="31" spans="2:8" x14ac:dyDescent="0.25">
      <c r="B31" s="328">
        <v>2017</v>
      </c>
      <c r="C31" s="329">
        <f>VLOOKUP($B31,'Tabla 7'!$B$4:$L$1048576,9,FALSE)</f>
        <v>1102570.9781997926</v>
      </c>
      <c r="D31" s="329">
        <f>VLOOKUP($B31,'Tabla 7'!$B$4:$L$1048576,4,FALSE)</f>
        <v>308813.32898639259</v>
      </c>
      <c r="E31" s="329">
        <f>VLOOKUP($B31,'Tabla 7'!$B$4:$L$1048576,10,FALSE)</f>
        <v>1411384.3071861851</v>
      </c>
      <c r="F31" s="330">
        <f t="shared" si="0"/>
        <v>0.78119826937706272</v>
      </c>
      <c r="G31" s="330">
        <f t="shared" si="1"/>
        <v>0.21880173062293723</v>
      </c>
    </row>
    <row r="32" spans="2:8" x14ac:dyDescent="0.25">
      <c r="B32" s="328">
        <v>2018</v>
      </c>
      <c r="C32" s="329">
        <f>VLOOKUP($B32,'Tabla 7'!$B$4:$L$1048576,9,FALSE)</f>
        <v>1199574.6992994728</v>
      </c>
      <c r="D32" s="329">
        <f>VLOOKUP($B32,'Tabla 7'!$B$4:$L$1048576,4,FALSE)</f>
        <v>317608.34020234051</v>
      </c>
      <c r="E32" s="329">
        <f>VLOOKUP($B32,'Tabla 7'!$B$4:$L$1048576,10,FALSE)</f>
        <v>1517183.0395018132</v>
      </c>
      <c r="F32" s="330">
        <f t="shared" si="0"/>
        <v>0.79065918090764364</v>
      </c>
      <c r="G32" s="330">
        <f t="shared" si="1"/>
        <v>0.20934081909235641</v>
      </c>
    </row>
    <row r="33" spans="2:7" x14ac:dyDescent="0.25">
      <c r="B33" s="328">
        <v>2019</v>
      </c>
      <c r="C33" s="329">
        <f>VLOOKUP($B33,'Tabla 7'!$B$4:$L$1048576,9,FALSE)</f>
        <v>1355283.5658818879</v>
      </c>
      <c r="D33" s="329">
        <f>VLOOKUP($B33,'Tabla 7'!$B$4:$L$1048576,4,FALSE)</f>
        <v>333679.81086900714</v>
      </c>
      <c r="E33" s="329">
        <f>VLOOKUP($B33,'Tabla 7'!$B$4:$L$1048576,10,FALSE)</f>
        <v>1688963.3767508951</v>
      </c>
      <c r="F33" s="330">
        <f t="shared" si="0"/>
        <v>0.80243514130488958</v>
      </c>
      <c r="G33" s="330">
        <f t="shared" si="1"/>
        <v>0.19756485869511042</v>
      </c>
    </row>
    <row r="34" spans="2:7" x14ac:dyDescent="0.25">
      <c r="B34" s="328">
        <v>2020</v>
      </c>
      <c r="C34" s="329">
        <f>VLOOKUP($B34,'Tabla 7'!$B$4:$L$1048576,9,FALSE)</f>
        <v>2022602.5165016458</v>
      </c>
      <c r="D34" s="329">
        <f>VLOOKUP($B34,'Tabla 7'!$B$4:$L$1048576,4,FALSE)</f>
        <v>416440.08546004718</v>
      </c>
      <c r="E34" s="329">
        <f>VLOOKUP($B34,'Tabla 7'!$B$4:$L$1048576,10,FALSE)</f>
        <v>2439042.6019616928</v>
      </c>
      <c r="F34" s="330">
        <f t="shared" si="0"/>
        <v>0.82926083983727494</v>
      </c>
      <c r="G34" s="330">
        <f t="shared" si="1"/>
        <v>0.17073916016272508</v>
      </c>
    </row>
    <row r="35" spans="2:7" x14ac:dyDescent="0.25">
      <c r="B35" s="328">
        <v>2021</v>
      </c>
      <c r="C35" s="329">
        <f>VLOOKUP($B35,'Tabla 7'!$B$4:$L$1048576,9,FALSE)</f>
        <v>2490057.5951532591</v>
      </c>
      <c r="D35" s="329">
        <f>VLOOKUP($B35,'Tabla 7'!$B$4:$L$1048576,4,FALSE)</f>
        <v>487107.81873783143</v>
      </c>
      <c r="E35" s="329">
        <f>VLOOKUP($B35,'Tabla 7'!$B$4:$L$1048576,10,FALSE)</f>
        <v>2977165.4138910905</v>
      </c>
      <c r="F35" s="330">
        <f t="shared" si="0"/>
        <v>0.83638536963211862</v>
      </c>
      <c r="G35" s="330">
        <f t="shared" si="1"/>
        <v>0.1636146303678814</v>
      </c>
    </row>
    <row r="36" spans="2:7" x14ac:dyDescent="0.25">
      <c r="B36" s="328">
        <v>2022</v>
      </c>
      <c r="C36" s="329">
        <f>VLOOKUP($B36,'Tabla 7'!$B$4:$L$1048576,9,FALSE)</f>
        <v>3876830.0828759139</v>
      </c>
      <c r="D36" s="329">
        <f>VLOOKUP($B36,'Tabla 7'!$B$4:$L$1048576,4,FALSE)</f>
        <v>590940.01955677662</v>
      </c>
      <c r="E36" s="329">
        <f>VLOOKUP($B36,'Tabla 7'!$B$4:$L$1048576,10,FALSE)</f>
        <v>4467770.1024326906</v>
      </c>
      <c r="F36" s="330">
        <f t="shared" si="0"/>
        <v>0.86773267065934945</v>
      </c>
      <c r="G36" s="330">
        <f t="shared" si="1"/>
        <v>0.13226732934065052</v>
      </c>
    </row>
    <row r="37" spans="2:7" x14ac:dyDescent="0.25">
      <c r="B37" s="328">
        <v>2023</v>
      </c>
      <c r="C37" s="329">
        <f>VLOOKUP($B37,'Tabla 7'!$B$4:$L$1048576,9,FALSE)</f>
        <v>5073621.8756625596</v>
      </c>
      <c r="D37" s="329">
        <f>VLOOKUP($B37,'Tabla 7'!$B$4:$L$1048576,4,FALSE)</f>
        <v>663406.1296293484</v>
      </c>
      <c r="E37" s="329">
        <f>VLOOKUP($B37,'Tabla 7'!$B$4:$L$1048576,10,FALSE)</f>
        <v>5737028.005291908</v>
      </c>
      <c r="F37" s="330">
        <f t="shared" si="0"/>
        <v>0.884364146555078</v>
      </c>
      <c r="G37" s="330">
        <f t="shared" si="1"/>
        <v>0.11563585344492203</v>
      </c>
    </row>
    <row r="38" spans="2:7" x14ac:dyDescent="0.25">
      <c r="B38" s="328">
        <v>2024</v>
      </c>
      <c r="C38" s="329">
        <f>VLOOKUP($B38,'Tabla 7'!$B$4:$L$1048576,9,FALSE)</f>
        <v>5661113.5356966825</v>
      </c>
      <c r="D38" s="329">
        <f>VLOOKUP($B38,'Tabla 7'!$B$4:$L$1048576,4,FALSE)</f>
        <v>715153.91052926658</v>
      </c>
      <c r="E38" s="329">
        <f>VLOOKUP($B38,'Tabla 7'!$B$4:$L$1048576,10,FALSE)</f>
        <v>6376267.4462259486</v>
      </c>
      <c r="F38" s="330">
        <f t="shared" si="0"/>
        <v>0.88784129327063299</v>
      </c>
      <c r="G38" s="330">
        <f t="shared" si="1"/>
        <v>0.11215870672936708</v>
      </c>
    </row>
    <row r="39" spans="2:7" x14ac:dyDescent="0.25">
      <c r="B39" s="328">
        <v>2025</v>
      </c>
      <c r="C39" s="329">
        <f>VLOOKUP($B39,'Tabla 7'!$B$4:$L$1048576,9,FALSE)</f>
        <v>6260736.6849551741</v>
      </c>
      <c r="D39" s="329">
        <f>VLOOKUP($B39,'Tabla 7'!$B$4:$L$1048576,4,FALSE)</f>
        <v>800391.9734939367</v>
      </c>
      <c r="E39" s="329">
        <f>VLOOKUP($B39,'Tabla 7'!$B$4:$L$1048576,10,FALSE)</f>
        <v>7061128.6584491106</v>
      </c>
      <c r="F39" s="330">
        <f t="shared" ref="F39" si="2">C39/E39</f>
        <v>0.88664815326141744</v>
      </c>
      <c r="G39" s="330">
        <f t="shared" ref="G39" si="3">D39/E39</f>
        <v>0.11335184673858256</v>
      </c>
    </row>
  </sheetData>
  <mergeCells count="3">
    <mergeCell ref="B2:H2"/>
    <mergeCell ref="B3:H16"/>
    <mergeCell ref="B17:H17"/>
  </mergeCells>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17491-599E-4F29-AD0C-3080FD9EC751}">
  <sheetPr>
    <tabColor rgb="FFFFC000"/>
  </sheetPr>
  <dimension ref="A1:S215"/>
  <sheetViews>
    <sheetView showGridLines="0" zoomScaleNormal="100" workbookViewId="0"/>
    <sheetView workbookViewId="1">
      <selection activeCell="K28" sqref="K28"/>
    </sheetView>
  </sheetViews>
  <sheetFormatPr baseColWidth="10" defaultRowHeight="15" x14ac:dyDescent="0.25"/>
  <cols>
    <col min="1" max="1" width="7.28515625" customWidth="1"/>
    <col min="10" max="11" width="13.42578125" bestFit="1" customWidth="1"/>
    <col min="12" max="12" width="12.5703125" bestFit="1" customWidth="1"/>
  </cols>
  <sheetData>
    <row r="1" spans="1:19" ht="21.6" customHeight="1" x14ac:dyDescent="0.25"/>
    <row r="2" spans="1:19" ht="28.15" customHeight="1" x14ac:dyDescent="0.25">
      <c r="B2" s="534" t="s">
        <v>633</v>
      </c>
      <c r="C2" s="534"/>
      <c r="D2" s="534"/>
      <c r="E2" s="534"/>
      <c r="F2" s="534"/>
      <c r="G2" s="534"/>
      <c r="H2" s="534"/>
      <c r="I2" s="261"/>
      <c r="J2" s="261"/>
      <c r="K2" s="261"/>
      <c r="L2" s="261"/>
      <c r="P2" s="587"/>
      <c r="Q2" s="602"/>
      <c r="R2" s="602"/>
      <c r="S2" s="602"/>
    </row>
    <row r="3" spans="1:19" x14ac:dyDescent="0.25">
      <c r="A3" s="588"/>
      <c r="B3" s="588"/>
      <c r="C3" s="588"/>
      <c r="D3" s="588"/>
      <c r="E3" s="588"/>
      <c r="F3" s="588"/>
      <c r="G3" s="588"/>
      <c r="H3" s="588"/>
    </row>
    <row r="4" spans="1:19" x14ac:dyDescent="0.25">
      <c r="A4" s="588"/>
      <c r="B4" s="588"/>
      <c r="C4" s="588"/>
      <c r="D4" s="588"/>
      <c r="E4" s="588"/>
      <c r="F4" s="588"/>
      <c r="G4" s="588"/>
      <c r="H4" s="588"/>
    </row>
    <row r="5" spans="1:19" x14ac:dyDescent="0.25">
      <c r="A5" s="588"/>
      <c r="B5" s="588"/>
      <c r="C5" s="588"/>
      <c r="D5" s="588"/>
      <c r="E5" s="588"/>
      <c r="F5" s="588"/>
      <c r="G5" s="588"/>
      <c r="H5" s="588"/>
    </row>
    <row r="6" spans="1:19" x14ac:dyDescent="0.25">
      <c r="A6" s="588"/>
      <c r="B6" s="588"/>
      <c r="C6" s="588"/>
      <c r="D6" s="588"/>
      <c r="E6" s="588"/>
      <c r="F6" s="588"/>
      <c r="G6" s="588"/>
      <c r="H6" s="588"/>
    </row>
    <row r="7" spans="1:19" x14ac:dyDescent="0.25">
      <c r="A7" s="588"/>
      <c r="B7" s="588"/>
      <c r="C7" s="588"/>
      <c r="D7" s="588"/>
      <c r="E7" s="588"/>
      <c r="F7" s="588"/>
      <c r="G7" s="588"/>
      <c r="H7" s="588"/>
    </row>
    <row r="8" spans="1:19" x14ac:dyDescent="0.25">
      <c r="A8" s="588"/>
      <c r="B8" s="588"/>
      <c r="C8" s="588"/>
      <c r="D8" s="588"/>
      <c r="E8" s="588"/>
      <c r="F8" s="588"/>
      <c r="G8" s="588"/>
      <c r="H8" s="588"/>
    </row>
    <row r="9" spans="1:19" x14ac:dyDescent="0.25">
      <c r="A9" s="588"/>
      <c r="B9" s="588"/>
      <c r="C9" s="588"/>
      <c r="D9" s="588"/>
      <c r="E9" s="588"/>
      <c r="F9" s="588"/>
      <c r="G9" s="588"/>
      <c r="H9" s="588"/>
    </row>
    <row r="10" spans="1:19" x14ac:dyDescent="0.25">
      <c r="A10" s="588"/>
      <c r="B10" s="588"/>
      <c r="C10" s="588"/>
      <c r="D10" s="588"/>
      <c r="E10" s="588"/>
      <c r="F10" s="588"/>
      <c r="G10" s="588"/>
      <c r="H10" s="588"/>
    </row>
    <row r="11" spans="1:19" x14ac:dyDescent="0.25">
      <c r="A11" s="588"/>
      <c r="B11" s="588"/>
      <c r="C11" s="588"/>
      <c r="D11" s="588"/>
      <c r="E11" s="588"/>
      <c r="F11" s="588"/>
      <c r="G11" s="588"/>
      <c r="H11" s="588"/>
    </row>
    <row r="12" spans="1:19" x14ac:dyDescent="0.25">
      <c r="A12" s="588"/>
      <c r="B12" s="588"/>
      <c r="C12" s="588"/>
      <c r="D12" s="588"/>
      <c r="E12" s="588"/>
      <c r="F12" s="588"/>
      <c r="G12" s="588"/>
      <c r="H12" s="588"/>
    </row>
    <row r="13" spans="1:19" x14ac:dyDescent="0.25">
      <c r="A13" s="588"/>
      <c r="B13" s="588"/>
      <c r="C13" s="588"/>
      <c r="D13" s="588"/>
      <c r="E13" s="588"/>
      <c r="F13" s="588"/>
      <c r="G13" s="588"/>
      <c r="H13" s="588"/>
    </row>
    <row r="14" spans="1:19" x14ac:dyDescent="0.25">
      <c r="A14" s="588"/>
      <c r="B14" s="588"/>
      <c r="C14" s="588"/>
      <c r="D14" s="588"/>
      <c r="E14" s="588"/>
      <c r="F14" s="588"/>
      <c r="G14" s="588"/>
      <c r="H14" s="588"/>
    </row>
    <row r="15" spans="1:19" x14ac:dyDescent="0.25">
      <c r="A15" s="588"/>
      <c r="B15" s="588"/>
      <c r="C15" s="588"/>
      <c r="D15" s="588"/>
      <c r="E15" s="588"/>
      <c r="F15" s="588"/>
      <c r="G15" s="588"/>
      <c r="H15" s="588"/>
    </row>
    <row r="16" spans="1:19" x14ac:dyDescent="0.25">
      <c r="A16" s="588"/>
      <c r="B16" s="588"/>
      <c r="C16" s="588"/>
      <c r="D16" s="588"/>
      <c r="E16" s="588"/>
      <c r="F16" s="588"/>
      <c r="G16" s="588"/>
      <c r="H16" s="588"/>
    </row>
    <row r="17" spans="1:15" x14ac:dyDescent="0.25">
      <c r="A17" s="588"/>
      <c r="B17" s="588"/>
      <c r="C17" s="588"/>
      <c r="D17" s="588"/>
      <c r="E17" s="588"/>
      <c r="F17" s="588"/>
      <c r="G17" s="588"/>
      <c r="H17" s="588"/>
    </row>
    <row r="18" spans="1:15" x14ac:dyDescent="0.25">
      <c r="C18" s="54"/>
      <c r="D18" s="54"/>
      <c r="E18" s="54"/>
      <c r="F18" s="54"/>
      <c r="G18" s="54"/>
      <c r="H18" s="54"/>
      <c r="I18" s="54"/>
      <c r="J18" s="54"/>
      <c r="K18" s="54"/>
      <c r="L18" s="54"/>
    </row>
    <row r="21" spans="1:15" x14ac:dyDescent="0.25">
      <c r="B21" s="589" t="s">
        <v>682</v>
      </c>
      <c r="C21" s="589"/>
      <c r="D21" s="589"/>
      <c r="E21" s="589"/>
      <c r="F21" s="589"/>
      <c r="G21" s="589"/>
      <c r="H21" s="589"/>
    </row>
    <row r="24" spans="1:15" x14ac:dyDescent="0.25">
      <c r="B24" s="316"/>
      <c r="C24" s="324"/>
      <c r="D24" s="324"/>
      <c r="E24" s="316"/>
      <c r="F24" s="316"/>
      <c r="G24" s="316"/>
      <c r="H24" s="316" t="s">
        <v>134</v>
      </c>
      <c r="I24" s="316" t="s">
        <v>134</v>
      </c>
      <c r="K24" s="450"/>
    </row>
    <row r="25" spans="1:15" x14ac:dyDescent="0.25">
      <c r="B25" s="322" t="s">
        <v>6</v>
      </c>
      <c r="C25" s="322" t="s">
        <v>30</v>
      </c>
      <c r="D25" s="322" t="s">
        <v>29</v>
      </c>
      <c r="E25" s="322" t="s">
        <v>5</v>
      </c>
      <c r="F25" s="316"/>
      <c r="G25" s="322" t="s">
        <v>6</v>
      </c>
      <c r="H25" s="322" t="s">
        <v>30</v>
      </c>
      <c r="I25" s="322" t="s">
        <v>29</v>
      </c>
    </row>
    <row r="26" spans="1:15" x14ac:dyDescent="0.25">
      <c r="B26" s="325">
        <v>2008</v>
      </c>
      <c r="C26" s="326">
        <f>'AUX Gasto Real'!P6</f>
        <v>134215.31730283622</v>
      </c>
      <c r="D26" s="326">
        <f>'AUX Gasto Real'!O6</f>
        <v>232764.85160759004</v>
      </c>
      <c r="E26" s="326">
        <f>SUM(C26:D26)</f>
        <v>366980.16891042626</v>
      </c>
      <c r="F26" s="316"/>
      <c r="G26" s="325">
        <v>2008</v>
      </c>
      <c r="H26" s="327">
        <f>C26/E26</f>
        <v>0.36572907386610293</v>
      </c>
      <c r="I26" s="327">
        <f>D26/E26</f>
        <v>0.63427092613389702</v>
      </c>
    </row>
    <row r="27" spans="1:15" x14ac:dyDescent="0.25">
      <c r="B27" s="325">
        <v>2009</v>
      </c>
      <c r="C27" s="326">
        <f>'AUX Gasto Real'!P7</f>
        <v>347940.95172589732</v>
      </c>
      <c r="D27" s="326">
        <f>'AUX Gasto Real'!O7</f>
        <v>646599.18934332242</v>
      </c>
      <c r="E27" s="326">
        <f t="shared" ref="E27:E41" si="0">SUM(C27:D27)</f>
        <v>994540.14106921968</v>
      </c>
      <c r="F27" s="316"/>
      <c r="G27" s="325">
        <v>2009</v>
      </c>
      <c r="H27" s="327">
        <f t="shared" ref="H27:H41" si="1">C27/E27</f>
        <v>0.34985108932036635</v>
      </c>
      <c r="I27" s="327">
        <f t="shared" ref="I27:I41" si="2">D27/E27</f>
        <v>0.65014891067963376</v>
      </c>
    </row>
    <row r="28" spans="1:15" x14ac:dyDescent="0.25">
      <c r="B28" s="325">
        <v>2010</v>
      </c>
      <c r="C28" s="326">
        <f>'AUX Gasto Real'!P8</f>
        <v>465406.60481394257</v>
      </c>
      <c r="D28" s="326">
        <f>'AUX Gasto Real'!O8</f>
        <v>855685.88657766103</v>
      </c>
      <c r="E28" s="326">
        <f t="shared" si="0"/>
        <v>1321092.4913916036</v>
      </c>
      <c r="F28" s="316"/>
      <c r="G28" s="325">
        <v>2010</v>
      </c>
      <c r="H28" s="327">
        <f t="shared" si="1"/>
        <v>0.35228919083757387</v>
      </c>
      <c r="I28" s="327">
        <f t="shared" si="2"/>
        <v>0.64771080916242607</v>
      </c>
    </row>
    <row r="29" spans="1:15" x14ac:dyDescent="0.25">
      <c r="B29" s="325">
        <v>2011</v>
      </c>
      <c r="C29" s="326">
        <f>'AUX Gasto Real'!P9</f>
        <v>534072.25736528984</v>
      </c>
      <c r="D29" s="326">
        <f>'AUX Gasto Real'!O9</f>
        <v>951281.97912898706</v>
      </c>
      <c r="E29" s="326">
        <f t="shared" si="0"/>
        <v>1485354.2364942769</v>
      </c>
      <c r="F29" s="316"/>
      <c r="G29" s="325">
        <v>2011</v>
      </c>
      <c r="H29" s="327">
        <f t="shared" si="1"/>
        <v>0.3595588474745281</v>
      </c>
      <c r="I29" s="327">
        <f t="shared" si="2"/>
        <v>0.64044115252547196</v>
      </c>
    </row>
    <row r="30" spans="1:15" x14ac:dyDescent="0.25">
      <c r="B30" s="325">
        <v>2012</v>
      </c>
      <c r="C30" s="326">
        <f>'AUX Gasto Real'!P10</f>
        <v>579249.31517657719</v>
      </c>
      <c r="D30" s="326">
        <f>'AUX Gasto Real'!O10</f>
        <v>1016272.4704201104</v>
      </c>
      <c r="E30" s="326">
        <f t="shared" si="0"/>
        <v>1595521.7855966876</v>
      </c>
      <c r="F30" s="316"/>
      <c r="G30" s="325">
        <v>2012</v>
      </c>
      <c r="H30" s="327">
        <f t="shared" si="1"/>
        <v>0.36304694828090461</v>
      </c>
      <c r="I30" s="327">
        <f t="shared" si="2"/>
        <v>0.63695305171909544</v>
      </c>
    </row>
    <row r="31" spans="1:15" x14ac:dyDescent="0.25">
      <c r="B31" s="325">
        <v>2013</v>
      </c>
      <c r="C31" s="326">
        <f>'AUX Gasto Real'!P11</f>
        <v>606048.81010923872</v>
      </c>
      <c r="D31" s="326">
        <f>'AUX Gasto Real'!O11</f>
        <v>1058413.6159045964</v>
      </c>
      <c r="E31" s="326">
        <f t="shared" si="0"/>
        <v>1664462.4260138352</v>
      </c>
      <c r="F31" s="316"/>
      <c r="G31" s="325">
        <v>2013</v>
      </c>
      <c r="H31" s="327">
        <f t="shared" si="1"/>
        <v>0.36411083881337264</v>
      </c>
      <c r="I31" s="327">
        <f t="shared" si="2"/>
        <v>0.63588916118662731</v>
      </c>
    </row>
    <row r="32" spans="1:15" x14ac:dyDescent="0.25">
      <c r="B32" s="325">
        <v>2014</v>
      </c>
      <c r="C32" s="326">
        <f>'AUX Gasto Real'!P12</f>
        <v>623187.11032853113</v>
      </c>
      <c r="D32" s="326">
        <f>'AUX Gasto Real'!O12</f>
        <v>1086757.1566978367</v>
      </c>
      <c r="E32" s="326">
        <f t="shared" si="0"/>
        <v>1709944.2670263678</v>
      </c>
      <c r="F32" s="316"/>
      <c r="G32" s="325">
        <v>2014</v>
      </c>
      <c r="H32" s="327">
        <f t="shared" si="1"/>
        <v>0.36444878487897608</v>
      </c>
      <c r="I32" s="327">
        <f t="shared" si="2"/>
        <v>0.63555121512102397</v>
      </c>
      <c r="O32" s="69"/>
    </row>
    <row r="33" spans="2:15" x14ac:dyDescent="0.25">
      <c r="B33" s="325">
        <v>2015</v>
      </c>
      <c r="C33" s="326">
        <f>'AUX Gasto Real'!P13</f>
        <v>651623.79106536915</v>
      </c>
      <c r="D33" s="326">
        <f>'AUX Gasto Real'!O13</f>
        <v>1126551.0324315918</v>
      </c>
      <c r="E33" s="326">
        <f t="shared" si="0"/>
        <v>1778174.823496961</v>
      </c>
      <c r="F33" s="316"/>
      <c r="G33" s="325">
        <v>2015</v>
      </c>
      <c r="H33" s="327">
        <f t="shared" si="1"/>
        <v>0.36645653872428863</v>
      </c>
      <c r="I33" s="327">
        <f t="shared" si="2"/>
        <v>0.63354346127571137</v>
      </c>
      <c r="O33" s="69"/>
    </row>
    <row r="34" spans="2:15" x14ac:dyDescent="0.25">
      <c r="B34" s="325">
        <v>2016</v>
      </c>
      <c r="C34" s="326">
        <f>'AUX Gasto Real'!P14</f>
        <v>676418.35688872414</v>
      </c>
      <c r="D34" s="326">
        <f>'AUX Gasto Real'!O14</f>
        <v>1167894.1403436917</v>
      </c>
      <c r="E34" s="326">
        <f t="shared" si="0"/>
        <v>1844312.4972324157</v>
      </c>
      <c r="F34" s="316"/>
      <c r="G34" s="325">
        <v>2016</v>
      </c>
      <c r="H34" s="327">
        <f t="shared" si="1"/>
        <v>0.36675908117727379</v>
      </c>
      <c r="I34" s="327">
        <f t="shared" si="2"/>
        <v>0.63324091882272626</v>
      </c>
      <c r="O34" s="69"/>
    </row>
    <row r="35" spans="2:15" x14ac:dyDescent="0.25">
      <c r="B35" s="325">
        <v>2017</v>
      </c>
      <c r="C35" s="326">
        <f>'AUX Gasto Real'!P15</f>
        <v>773254.19480256154</v>
      </c>
      <c r="D35" s="326">
        <f>'AUX Gasto Real'!O15</f>
        <v>1334101.4495605722</v>
      </c>
      <c r="E35" s="326">
        <f t="shared" si="0"/>
        <v>2107355.6443631337</v>
      </c>
      <c r="F35" s="316"/>
      <c r="G35" s="325">
        <v>2017</v>
      </c>
      <c r="H35" s="327">
        <f t="shared" si="1"/>
        <v>0.36693103837071961</v>
      </c>
      <c r="I35" s="327">
        <f t="shared" si="2"/>
        <v>0.63306896162928039</v>
      </c>
      <c r="O35" s="69"/>
    </row>
    <row r="36" spans="2:15" x14ac:dyDescent="0.25">
      <c r="B36" s="325">
        <v>2018</v>
      </c>
      <c r="C36" s="326">
        <f>'AUX Gasto Real'!P16</f>
        <v>814689.2191243174</v>
      </c>
      <c r="D36" s="326">
        <f>'AUX Gasto Real'!O16</f>
        <v>1401117.7558931785</v>
      </c>
      <c r="E36" s="326">
        <f t="shared" si="0"/>
        <v>2215806.9750174959</v>
      </c>
      <c r="F36" s="316"/>
      <c r="G36" s="325">
        <v>2018</v>
      </c>
      <c r="H36" s="327">
        <f t="shared" si="1"/>
        <v>0.36767156539792217</v>
      </c>
      <c r="I36" s="327">
        <f t="shared" si="2"/>
        <v>0.63232843460207777</v>
      </c>
      <c r="O36" s="69"/>
    </row>
    <row r="37" spans="2:15" x14ac:dyDescent="0.25">
      <c r="B37" s="325">
        <v>2019</v>
      </c>
      <c r="C37" s="326">
        <f>'AUX Gasto Real'!P17</f>
        <v>886624.91071848455</v>
      </c>
      <c r="D37" s="326">
        <f>'AUX Gasto Real'!O17</f>
        <v>1519078.7994277063</v>
      </c>
      <c r="E37" s="326">
        <f t="shared" si="0"/>
        <v>2405703.7101461906</v>
      </c>
      <c r="F37" s="316"/>
      <c r="G37" s="325">
        <v>2019</v>
      </c>
      <c r="H37" s="327">
        <f t="shared" si="1"/>
        <v>0.36855116736907134</v>
      </c>
      <c r="I37" s="327">
        <f t="shared" si="2"/>
        <v>0.63144883263092877</v>
      </c>
      <c r="O37" s="69"/>
    </row>
    <row r="38" spans="2:15" x14ac:dyDescent="0.25">
      <c r="B38" s="325">
        <v>2020</v>
      </c>
      <c r="C38" s="326">
        <f>'AUX Gasto Real'!P18</f>
        <v>1246745.3383951357</v>
      </c>
      <c r="D38" s="326">
        <f>'AUX Gasto Real'!O18</f>
        <v>2127477.6385192331</v>
      </c>
      <c r="E38" s="326">
        <f t="shared" si="0"/>
        <v>3374222.9769143686</v>
      </c>
      <c r="F38" s="316"/>
      <c r="G38" s="325">
        <v>2020</v>
      </c>
      <c r="H38" s="327">
        <f t="shared" si="1"/>
        <v>0.36949109377924072</v>
      </c>
      <c r="I38" s="327">
        <f t="shared" si="2"/>
        <v>0.63050890622075939</v>
      </c>
      <c r="O38" s="69"/>
    </row>
    <row r="39" spans="2:15" x14ac:dyDescent="0.25">
      <c r="B39" s="325">
        <v>2021</v>
      </c>
      <c r="C39" s="326">
        <f>'AUX Gasto Real'!P19</f>
        <v>1476184.9787461658</v>
      </c>
      <c r="D39" s="326">
        <f>'AUX Gasto Real'!O19</f>
        <v>2487138.9170800345</v>
      </c>
      <c r="E39" s="326">
        <f t="shared" si="0"/>
        <v>3963323.8958262</v>
      </c>
      <c r="F39" s="316"/>
      <c r="G39" s="325">
        <v>2021</v>
      </c>
      <c r="H39" s="327">
        <f t="shared" si="1"/>
        <v>0.37246135252804974</v>
      </c>
      <c r="I39" s="327">
        <f t="shared" si="2"/>
        <v>0.62753864747195032</v>
      </c>
      <c r="O39" s="69"/>
    </row>
    <row r="40" spans="2:15" x14ac:dyDescent="0.25">
      <c r="B40" s="325">
        <v>2022</v>
      </c>
      <c r="C40" s="326">
        <f>'AUX Gasto Real'!P20</f>
        <v>2131510.9623029791</v>
      </c>
      <c r="D40" s="326">
        <f>'AUX Gasto Real'!O20</f>
        <v>3232288.131936131</v>
      </c>
      <c r="E40" s="326">
        <f t="shared" si="0"/>
        <v>5363799.0942391101</v>
      </c>
      <c r="F40" s="316"/>
      <c r="G40" s="325">
        <v>2022</v>
      </c>
      <c r="H40" s="327">
        <f t="shared" si="1"/>
        <v>0.39738829230056161</v>
      </c>
      <c r="I40" s="327">
        <f t="shared" si="2"/>
        <v>0.60261170769943839</v>
      </c>
      <c r="O40" s="69"/>
    </row>
    <row r="41" spans="2:15" x14ac:dyDescent="0.25">
      <c r="B41" s="325">
        <v>2023</v>
      </c>
      <c r="C41" s="326">
        <f>'AUX Gasto Real'!P21</f>
        <v>2609645.7181565687</v>
      </c>
      <c r="D41" s="326">
        <f>'AUX Gasto Real'!O21</f>
        <v>3717522.6175583028</v>
      </c>
      <c r="E41" s="326">
        <f t="shared" si="0"/>
        <v>6327168.3357148711</v>
      </c>
      <c r="F41" s="316"/>
      <c r="G41" s="325">
        <v>2023</v>
      </c>
      <c r="H41" s="327">
        <f t="shared" si="1"/>
        <v>0.41245081206800538</v>
      </c>
      <c r="I41" s="327">
        <f t="shared" si="2"/>
        <v>0.58754918793199473</v>
      </c>
      <c r="O41" s="69"/>
    </row>
    <row r="42" spans="2:15" x14ac:dyDescent="0.25">
      <c r="B42" s="325">
        <v>2024</v>
      </c>
      <c r="C42" s="326">
        <f>'AUX Gasto Real'!P22</f>
        <v>2804049.5272688931</v>
      </c>
      <c r="D42" s="326">
        <f>'AUX Gasto Real'!O22</f>
        <v>3940542.3487643437</v>
      </c>
      <c r="E42" s="326">
        <f t="shared" ref="E42" si="3">SUM(C42:D42)</f>
        <v>6744591.8760332372</v>
      </c>
      <c r="G42" s="325">
        <v>2024</v>
      </c>
      <c r="H42" s="327">
        <f t="shared" ref="H42" si="4">C42/E42</f>
        <v>0.41574784342889937</v>
      </c>
      <c r="I42" s="327">
        <f t="shared" ref="I42" si="5">D42/E42</f>
        <v>0.58425215657110052</v>
      </c>
      <c r="O42" s="69"/>
    </row>
    <row r="43" spans="2:15" x14ac:dyDescent="0.25">
      <c r="B43" s="325">
        <v>2025</v>
      </c>
      <c r="C43" s="326">
        <f>'AUX Gasto Real'!P23</f>
        <v>2991097.4349951735</v>
      </c>
      <c r="D43" s="326">
        <f>'AUX Gasto Real'!O23</f>
        <v>4163425.1861378467</v>
      </c>
      <c r="E43" s="326">
        <f t="shared" ref="E43" si="6">SUM(C43:D43)</f>
        <v>7154522.6211330201</v>
      </c>
      <c r="G43" s="325">
        <v>2025</v>
      </c>
      <c r="H43" s="327">
        <f t="shared" ref="H43" si="7">C43/E43</f>
        <v>0.41807086138215199</v>
      </c>
      <c r="I43" s="327">
        <f t="shared" ref="I43" si="8">D43/E43</f>
        <v>0.58192913861784801</v>
      </c>
      <c r="O43" s="69"/>
    </row>
    <row r="44" spans="2:15" x14ac:dyDescent="0.25">
      <c r="B44" s="63"/>
      <c r="O44" s="69"/>
    </row>
    <row r="45" spans="2:15" x14ac:dyDescent="0.25">
      <c r="B45" s="63"/>
      <c r="O45" s="69"/>
    </row>
    <row r="46" spans="2:15" x14ac:dyDescent="0.25">
      <c r="B46" s="63"/>
      <c r="O46" s="69"/>
    </row>
    <row r="47" spans="2:15" x14ac:dyDescent="0.25">
      <c r="B47" s="63"/>
      <c r="O47" s="69"/>
    </row>
    <row r="48" spans="2:15" x14ac:dyDescent="0.25">
      <c r="B48" s="63"/>
    </row>
    <row r="49" spans="2:2" x14ac:dyDescent="0.25">
      <c r="B49" s="63"/>
    </row>
    <row r="50" spans="2:2" x14ac:dyDescent="0.25">
      <c r="B50" s="63"/>
    </row>
    <row r="51" spans="2:2" x14ac:dyDescent="0.25">
      <c r="B51" s="63"/>
    </row>
    <row r="52" spans="2:2" x14ac:dyDescent="0.25">
      <c r="B52" s="63"/>
    </row>
    <row r="53" spans="2:2" x14ac:dyDescent="0.25">
      <c r="B53" s="63"/>
    </row>
    <row r="54" spans="2:2" x14ac:dyDescent="0.25">
      <c r="B54" s="63"/>
    </row>
    <row r="55" spans="2:2" x14ac:dyDescent="0.25">
      <c r="B55" s="63"/>
    </row>
    <row r="56" spans="2:2" x14ac:dyDescent="0.25">
      <c r="B56" s="63"/>
    </row>
    <row r="57" spans="2:2" x14ac:dyDescent="0.25">
      <c r="B57" s="63"/>
    </row>
    <row r="58" spans="2:2" x14ac:dyDescent="0.25">
      <c r="B58" s="63"/>
    </row>
    <row r="59" spans="2:2" x14ac:dyDescent="0.25">
      <c r="B59" s="63"/>
    </row>
    <row r="60" spans="2:2" x14ac:dyDescent="0.25">
      <c r="B60" s="63"/>
    </row>
    <row r="61" spans="2:2" x14ac:dyDescent="0.25">
      <c r="B61" s="63"/>
    </row>
    <row r="62" spans="2:2" x14ac:dyDescent="0.25">
      <c r="B62" s="63"/>
    </row>
    <row r="63" spans="2:2" x14ac:dyDescent="0.25">
      <c r="B63" s="63"/>
    </row>
    <row r="64" spans="2:2" x14ac:dyDescent="0.25">
      <c r="B64" s="63"/>
    </row>
    <row r="65" spans="2:2" x14ac:dyDescent="0.25">
      <c r="B65" s="63"/>
    </row>
    <row r="66" spans="2:2" x14ac:dyDescent="0.25">
      <c r="B66" s="63"/>
    </row>
    <row r="67" spans="2:2" x14ac:dyDescent="0.25">
      <c r="B67" s="63"/>
    </row>
    <row r="68" spans="2:2" x14ac:dyDescent="0.25">
      <c r="B68" s="63"/>
    </row>
    <row r="69" spans="2:2" x14ac:dyDescent="0.25">
      <c r="B69" s="63"/>
    </row>
    <row r="70" spans="2:2" x14ac:dyDescent="0.25">
      <c r="B70" s="63"/>
    </row>
    <row r="71" spans="2:2" x14ac:dyDescent="0.25">
      <c r="B71" s="63"/>
    </row>
    <row r="72" spans="2:2" x14ac:dyDescent="0.25">
      <c r="B72" s="63"/>
    </row>
    <row r="73" spans="2:2" x14ac:dyDescent="0.25">
      <c r="B73" s="63"/>
    </row>
    <row r="74" spans="2:2" x14ac:dyDescent="0.25">
      <c r="B74" s="63"/>
    </row>
    <row r="75" spans="2:2" x14ac:dyDescent="0.25">
      <c r="B75" s="63"/>
    </row>
    <row r="76" spans="2:2" x14ac:dyDescent="0.25">
      <c r="B76" s="63"/>
    </row>
    <row r="77" spans="2:2" x14ac:dyDescent="0.25">
      <c r="B77" s="63"/>
    </row>
    <row r="78" spans="2:2" x14ac:dyDescent="0.25">
      <c r="B78" s="63"/>
    </row>
    <row r="79" spans="2:2" x14ac:dyDescent="0.25">
      <c r="B79" s="63"/>
    </row>
    <row r="80" spans="2:2" x14ac:dyDescent="0.25">
      <c r="B80" s="63"/>
    </row>
    <row r="81" spans="2:2" x14ac:dyDescent="0.25">
      <c r="B81" s="63"/>
    </row>
    <row r="82" spans="2:2" x14ac:dyDescent="0.25">
      <c r="B82" s="63"/>
    </row>
    <row r="83" spans="2:2" x14ac:dyDescent="0.25">
      <c r="B83" s="63"/>
    </row>
    <row r="84" spans="2:2" x14ac:dyDescent="0.25">
      <c r="B84" s="63"/>
    </row>
    <row r="85" spans="2:2" x14ac:dyDescent="0.25">
      <c r="B85" s="63"/>
    </row>
    <row r="86" spans="2:2" x14ac:dyDescent="0.25">
      <c r="B86" s="63"/>
    </row>
    <row r="87" spans="2:2" x14ac:dyDescent="0.25">
      <c r="B87" s="63"/>
    </row>
    <row r="88" spans="2:2" x14ac:dyDescent="0.25">
      <c r="B88" s="63"/>
    </row>
    <row r="89" spans="2:2" x14ac:dyDescent="0.25">
      <c r="B89" s="63"/>
    </row>
    <row r="90" spans="2:2" x14ac:dyDescent="0.25">
      <c r="B90" s="63"/>
    </row>
    <row r="91" spans="2:2" x14ac:dyDescent="0.25">
      <c r="B91" s="63"/>
    </row>
    <row r="92" spans="2:2" x14ac:dyDescent="0.25">
      <c r="B92" s="63"/>
    </row>
    <row r="93" spans="2:2" x14ac:dyDescent="0.25">
      <c r="B93" s="63"/>
    </row>
    <row r="94" spans="2:2" x14ac:dyDescent="0.25">
      <c r="B94" s="63"/>
    </row>
    <row r="95" spans="2:2" x14ac:dyDescent="0.25">
      <c r="B95" s="63"/>
    </row>
    <row r="96" spans="2:2" x14ac:dyDescent="0.25">
      <c r="B96" s="63"/>
    </row>
    <row r="97" spans="2:2" x14ac:dyDescent="0.25">
      <c r="B97" s="63"/>
    </row>
    <row r="98" spans="2:2" x14ac:dyDescent="0.25">
      <c r="B98" s="63"/>
    </row>
    <row r="99" spans="2:2" x14ac:dyDescent="0.25">
      <c r="B99" s="63"/>
    </row>
    <row r="100" spans="2:2" x14ac:dyDescent="0.25">
      <c r="B100" s="63"/>
    </row>
    <row r="101" spans="2:2" x14ac:dyDescent="0.25">
      <c r="B101" s="63"/>
    </row>
    <row r="102" spans="2:2" x14ac:dyDescent="0.25">
      <c r="B102" s="63"/>
    </row>
    <row r="103" spans="2:2" x14ac:dyDescent="0.25">
      <c r="B103" s="63"/>
    </row>
    <row r="104" spans="2:2" x14ac:dyDescent="0.25">
      <c r="B104" s="63"/>
    </row>
    <row r="105" spans="2:2" x14ac:dyDescent="0.25">
      <c r="B105" s="63"/>
    </row>
    <row r="106" spans="2:2" x14ac:dyDescent="0.25">
      <c r="B106" s="63"/>
    </row>
    <row r="107" spans="2:2" x14ac:dyDescent="0.25">
      <c r="B107" s="63"/>
    </row>
    <row r="108" spans="2:2" x14ac:dyDescent="0.25">
      <c r="B108" s="63"/>
    </row>
    <row r="109" spans="2:2" x14ac:dyDescent="0.25">
      <c r="B109" s="63"/>
    </row>
    <row r="110" spans="2:2" x14ac:dyDescent="0.25">
      <c r="B110" s="63"/>
    </row>
    <row r="111" spans="2:2" x14ac:dyDescent="0.25">
      <c r="B111" s="63"/>
    </row>
    <row r="112" spans="2:2" x14ac:dyDescent="0.25">
      <c r="B112" s="63"/>
    </row>
    <row r="113" spans="2:2" x14ac:dyDescent="0.25">
      <c r="B113" s="63"/>
    </row>
    <row r="114" spans="2:2" x14ac:dyDescent="0.25">
      <c r="B114" s="63"/>
    </row>
    <row r="115" spans="2:2" x14ac:dyDescent="0.25">
      <c r="B115" s="63"/>
    </row>
    <row r="116" spans="2:2" x14ac:dyDescent="0.25">
      <c r="B116" s="63"/>
    </row>
    <row r="117" spans="2:2" x14ac:dyDescent="0.25">
      <c r="B117" s="63"/>
    </row>
    <row r="118" spans="2:2" x14ac:dyDescent="0.25">
      <c r="B118" s="63"/>
    </row>
    <row r="119" spans="2:2" x14ac:dyDescent="0.25">
      <c r="B119" s="63"/>
    </row>
    <row r="120" spans="2:2" x14ac:dyDescent="0.25">
      <c r="B120" s="63"/>
    </row>
    <row r="121" spans="2:2" x14ac:dyDescent="0.25">
      <c r="B121" s="63"/>
    </row>
    <row r="122" spans="2:2" x14ac:dyDescent="0.25">
      <c r="B122" s="63"/>
    </row>
    <row r="123" spans="2:2" x14ac:dyDescent="0.25">
      <c r="B123" s="63"/>
    </row>
    <row r="124" spans="2:2" x14ac:dyDescent="0.25">
      <c r="B124" s="63"/>
    </row>
    <row r="125" spans="2:2" x14ac:dyDescent="0.25">
      <c r="B125" s="63"/>
    </row>
    <row r="126" spans="2:2" x14ac:dyDescent="0.25">
      <c r="B126" s="63"/>
    </row>
    <row r="127" spans="2:2" x14ac:dyDescent="0.25">
      <c r="B127" s="63"/>
    </row>
    <row r="128" spans="2:2" x14ac:dyDescent="0.25">
      <c r="B128" s="63"/>
    </row>
    <row r="129" spans="2:2" x14ac:dyDescent="0.25">
      <c r="B129" s="63"/>
    </row>
    <row r="130" spans="2:2" x14ac:dyDescent="0.25">
      <c r="B130" s="63"/>
    </row>
    <row r="131" spans="2:2" x14ac:dyDescent="0.25">
      <c r="B131" s="63"/>
    </row>
    <row r="132" spans="2:2" x14ac:dyDescent="0.25">
      <c r="B132" s="63"/>
    </row>
    <row r="133" spans="2:2" x14ac:dyDescent="0.25">
      <c r="B133" s="63"/>
    </row>
    <row r="134" spans="2:2" x14ac:dyDescent="0.25">
      <c r="B134" s="63"/>
    </row>
    <row r="135" spans="2:2" x14ac:dyDescent="0.25">
      <c r="B135" s="63"/>
    </row>
    <row r="136" spans="2:2" x14ac:dyDescent="0.25">
      <c r="B136" s="63"/>
    </row>
    <row r="137" spans="2:2" x14ac:dyDescent="0.25">
      <c r="B137" s="63"/>
    </row>
    <row r="138" spans="2:2" x14ac:dyDescent="0.25">
      <c r="B138" s="63"/>
    </row>
    <row r="139" spans="2:2" x14ac:dyDescent="0.25">
      <c r="B139" s="63"/>
    </row>
    <row r="140" spans="2:2" x14ac:dyDescent="0.25">
      <c r="B140" s="63"/>
    </row>
    <row r="141" spans="2:2" x14ac:dyDescent="0.25">
      <c r="B141" s="63"/>
    </row>
    <row r="142" spans="2:2" x14ac:dyDescent="0.25">
      <c r="B142" s="63"/>
    </row>
    <row r="143" spans="2:2" x14ac:dyDescent="0.25">
      <c r="B143" s="63"/>
    </row>
    <row r="144" spans="2:2" x14ac:dyDescent="0.25">
      <c r="B144" s="63"/>
    </row>
    <row r="145" spans="2:2" x14ac:dyDescent="0.25">
      <c r="B145" s="63"/>
    </row>
    <row r="146" spans="2:2" x14ac:dyDescent="0.25">
      <c r="B146" s="63"/>
    </row>
    <row r="147" spans="2:2" x14ac:dyDescent="0.25">
      <c r="B147" s="63"/>
    </row>
    <row r="148" spans="2:2" x14ac:dyDescent="0.25">
      <c r="B148" s="63"/>
    </row>
    <row r="149" spans="2:2" x14ac:dyDescent="0.25">
      <c r="B149" s="63"/>
    </row>
    <row r="150" spans="2:2" x14ac:dyDescent="0.25">
      <c r="B150" s="63"/>
    </row>
    <row r="151" spans="2:2" x14ac:dyDescent="0.25">
      <c r="B151" s="63"/>
    </row>
    <row r="152" spans="2:2" x14ac:dyDescent="0.25">
      <c r="B152" s="63"/>
    </row>
    <row r="153" spans="2:2" x14ac:dyDescent="0.25">
      <c r="B153" s="63"/>
    </row>
    <row r="154" spans="2:2" x14ac:dyDescent="0.25">
      <c r="B154" s="63"/>
    </row>
    <row r="155" spans="2:2" x14ac:dyDescent="0.25">
      <c r="B155" s="63"/>
    </row>
    <row r="156" spans="2:2" x14ac:dyDescent="0.25">
      <c r="B156" s="63"/>
    </row>
    <row r="157" spans="2:2" x14ac:dyDescent="0.25">
      <c r="B157" s="63"/>
    </row>
    <row r="158" spans="2:2" x14ac:dyDescent="0.25">
      <c r="B158" s="63"/>
    </row>
    <row r="159" spans="2:2" x14ac:dyDescent="0.25">
      <c r="B159" s="63"/>
    </row>
    <row r="160" spans="2:2" x14ac:dyDescent="0.25">
      <c r="B160" s="63"/>
    </row>
    <row r="161" spans="2:2" x14ac:dyDescent="0.25">
      <c r="B161" s="63"/>
    </row>
    <row r="162" spans="2:2" x14ac:dyDescent="0.25">
      <c r="B162" s="63"/>
    </row>
    <row r="163" spans="2:2" x14ac:dyDescent="0.25">
      <c r="B163" s="63"/>
    </row>
    <row r="164" spans="2:2" x14ac:dyDescent="0.25">
      <c r="B164" s="63"/>
    </row>
    <row r="165" spans="2:2" x14ac:dyDescent="0.25">
      <c r="B165" s="63"/>
    </row>
    <row r="166" spans="2:2" x14ac:dyDescent="0.25">
      <c r="B166" s="63"/>
    </row>
    <row r="167" spans="2:2" x14ac:dyDescent="0.25">
      <c r="B167" s="63"/>
    </row>
    <row r="168" spans="2:2" x14ac:dyDescent="0.25">
      <c r="B168" s="63"/>
    </row>
    <row r="169" spans="2:2" x14ac:dyDescent="0.25">
      <c r="B169" s="63"/>
    </row>
    <row r="170" spans="2:2" x14ac:dyDescent="0.25">
      <c r="B170" s="63"/>
    </row>
    <row r="171" spans="2:2" x14ac:dyDescent="0.25">
      <c r="B171" s="63"/>
    </row>
    <row r="172" spans="2:2" x14ac:dyDescent="0.25">
      <c r="B172" s="63"/>
    </row>
    <row r="173" spans="2:2" x14ac:dyDescent="0.25">
      <c r="B173" s="63"/>
    </row>
    <row r="174" spans="2:2" x14ac:dyDescent="0.25">
      <c r="B174" s="63"/>
    </row>
    <row r="175" spans="2:2" x14ac:dyDescent="0.25">
      <c r="B175" s="63"/>
    </row>
    <row r="176" spans="2:2" x14ac:dyDescent="0.25">
      <c r="B176" s="63"/>
    </row>
    <row r="177" spans="2:2" x14ac:dyDescent="0.25">
      <c r="B177" s="63"/>
    </row>
    <row r="178" spans="2:2" x14ac:dyDescent="0.25">
      <c r="B178" s="63"/>
    </row>
    <row r="179" spans="2:2" x14ac:dyDescent="0.25">
      <c r="B179" s="63"/>
    </row>
    <row r="180" spans="2:2" x14ac:dyDescent="0.25">
      <c r="B180" s="63"/>
    </row>
    <row r="181" spans="2:2" x14ac:dyDescent="0.25">
      <c r="B181" s="63"/>
    </row>
    <row r="182" spans="2:2" x14ac:dyDescent="0.25">
      <c r="B182" s="63"/>
    </row>
    <row r="183" spans="2:2" x14ac:dyDescent="0.25">
      <c r="B183" s="63"/>
    </row>
    <row r="184" spans="2:2" x14ac:dyDescent="0.25">
      <c r="B184" s="63"/>
    </row>
    <row r="185" spans="2:2" x14ac:dyDescent="0.25">
      <c r="B185" s="63"/>
    </row>
    <row r="186" spans="2:2" x14ac:dyDescent="0.25">
      <c r="B186" s="63"/>
    </row>
    <row r="187" spans="2:2" x14ac:dyDescent="0.25">
      <c r="B187" s="63"/>
    </row>
    <row r="188" spans="2:2" x14ac:dyDescent="0.25">
      <c r="B188" s="63"/>
    </row>
    <row r="189" spans="2:2" x14ac:dyDescent="0.25">
      <c r="B189" s="63"/>
    </row>
    <row r="190" spans="2:2" x14ac:dyDescent="0.25">
      <c r="B190" s="63"/>
    </row>
    <row r="191" spans="2:2" x14ac:dyDescent="0.25">
      <c r="B191" s="63"/>
    </row>
    <row r="192" spans="2:2" x14ac:dyDescent="0.25">
      <c r="B192" s="63"/>
    </row>
    <row r="193" spans="2:2" x14ac:dyDescent="0.25">
      <c r="B193" s="63"/>
    </row>
    <row r="194" spans="2:2" x14ac:dyDescent="0.25">
      <c r="B194" s="63"/>
    </row>
    <row r="195" spans="2:2" x14ac:dyDescent="0.25">
      <c r="B195" s="63"/>
    </row>
    <row r="196" spans="2:2" x14ac:dyDescent="0.25">
      <c r="B196" s="63"/>
    </row>
    <row r="197" spans="2:2" x14ac:dyDescent="0.25">
      <c r="B197" s="63"/>
    </row>
    <row r="198" spans="2:2" x14ac:dyDescent="0.25">
      <c r="B198" s="63"/>
    </row>
    <row r="199" spans="2:2" x14ac:dyDescent="0.25">
      <c r="B199" s="63"/>
    </row>
    <row r="200" spans="2:2" x14ac:dyDescent="0.25">
      <c r="B200" s="63"/>
    </row>
    <row r="201" spans="2:2" x14ac:dyDescent="0.25">
      <c r="B201" s="63"/>
    </row>
    <row r="202" spans="2:2" x14ac:dyDescent="0.25">
      <c r="B202" s="63"/>
    </row>
    <row r="203" spans="2:2" x14ac:dyDescent="0.25">
      <c r="B203" s="63"/>
    </row>
    <row r="204" spans="2:2" x14ac:dyDescent="0.25">
      <c r="B204" s="63"/>
    </row>
    <row r="205" spans="2:2" x14ac:dyDescent="0.25">
      <c r="B205" s="63"/>
    </row>
    <row r="206" spans="2:2" x14ac:dyDescent="0.25">
      <c r="B206" s="63"/>
    </row>
    <row r="207" spans="2:2" x14ac:dyDescent="0.25">
      <c r="B207" s="63"/>
    </row>
    <row r="208" spans="2:2" x14ac:dyDescent="0.25">
      <c r="B208" s="63"/>
    </row>
    <row r="209" spans="2:2" x14ac:dyDescent="0.25">
      <c r="B209" s="63"/>
    </row>
    <row r="210" spans="2:2" x14ac:dyDescent="0.25">
      <c r="B210" s="63"/>
    </row>
    <row r="211" spans="2:2" x14ac:dyDescent="0.25">
      <c r="B211" s="63"/>
    </row>
    <row r="212" spans="2:2" x14ac:dyDescent="0.25">
      <c r="B212" s="63"/>
    </row>
    <row r="213" spans="2:2" x14ac:dyDescent="0.25">
      <c r="B213" s="63"/>
    </row>
    <row r="214" spans="2:2" x14ac:dyDescent="0.25">
      <c r="B214" s="63"/>
    </row>
    <row r="215" spans="2:2" x14ac:dyDescent="0.25">
      <c r="B215" s="63"/>
    </row>
  </sheetData>
  <mergeCells count="5">
    <mergeCell ref="B21:H21"/>
    <mergeCell ref="B2:H2"/>
    <mergeCell ref="P2:S2"/>
    <mergeCell ref="A3:D17"/>
    <mergeCell ref="E3:H17"/>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90C9C-A3B5-4045-91D4-96E3DCE639A4}">
  <sheetPr>
    <tabColor rgb="FFFFC000"/>
  </sheetPr>
  <dimension ref="B2:I25"/>
  <sheetViews>
    <sheetView showGridLines="0" zoomScaleNormal="100" workbookViewId="0"/>
    <sheetView workbookViewId="1">
      <selection activeCell="M18" sqref="M18"/>
    </sheetView>
  </sheetViews>
  <sheetFormatPr baseColWidth="10" defaultRowHeight="15" x14ac:dyDescent="0.25"/>
  <cols>
    <col min="1" max="1" width="6.7109375" customWidth="1"/>
    <col min="8" max="8" width="14.85546875" customWidth="1"/>
  </cols>
  <sheetData>
    <row r="2" spans="2:9" x14ac:dyDescent="0.25">
      <c r="B2" s="261" t="s">
        <v>683</v>
      </c>
      <c r="C2" s="261"/>
      <c r="D2" s="261"/>
      <c r="E2" s="261"/>
      <c r="F2" s="261"/>
      <c r="G2" s="261"/>
      <c r="H2" s="261"/>
    </row>
    <row r="14" spans="2:9" ht="79.900000000000006" customHeight="1" x14ac:dyDescent="0.25"/>
    <row r="16" spans="2:9" x14ac:dyDescent="0.25">
      <c r="B16" s="321" t="s">
        <v>667</v>
      </c>
      <c r="I16" s="377"/>
    </row>
    <row r="17" spans="2:8" s="29" customFormat="1" x14ac:dyDescent="0.25">
      <c r="C17" s="263"/>
      <c r="D17" s="263"/>
      <c r="E17" s="263"/>
      <c r="F17" s="263"/>
      <c r="G17" s="263"/>
      <c r="H17" s="263"/>
    </row>
    <row r="21" spans="2:8" x14ac:dyDescent="0.25">
      <c r="B21" s="262" t="s">
        <v>148</v>
      </c>
    </row>
    <row r="22" spans="2:8" ht="15.75" thickBot="1" x14ac:dyDescent="0.3"/>
    <row r="23" spans="2:8" x14ac:dyDescent="0.25">
      <c r="B23" s="505" t="s">
        <v>6</v>
      </c>
      <c r="C23" s="85" t="s">
        <v>14</v>
      </c>
      <c r="D23" s="85" t="s">
        <v>15</v>
      </c>
      <c r="E23" s="86" t="s">
        <v>44</v>
      </c>
      <c r="F23" s="87" t="s">
        <v>5</v>
      </c>
    </row>
    <row r="24" spans="2:8" ht="15.75" thickBot="1" x14ac:dyDescent="0.3">
      <c r="B24" s="506">
        <v>2025</v>
      </c>
      <c r="C24" s="75">
        <f>INDEX('Tabla 9'!$S$29:$Y$47,MATCH('Figura 8'!$B$24,'Tabla 9'!$S$29:$S$47,0),MATCH('Figura 8'!C23,'Tabla 9'!$S$28:$Y$28,0))</f>
        <v>8972</v>
      </c>
      <c r="D24" s="75">
        <f>INDEX('Tabla 9'!$S$29:$Y$47,MATCH('Figura 8'!$B$24,'Tabla 9'!$S$29:$S$47,0),MATCH('Figura 8'!D23,'Tabla 9'!$S$28:$Y$28,0))</f>
        <v>9533</v>
      </c>
      <c r="E24" s="75">
        <f>INDEX('Tabla 9'!$S$29:$Y$47,MATCH('Figura 8'!$B$24,'Tabla 9'!$S$29:$S$47,0),MATCH('Figura 8'!E23,'Tabla 9'!$S$28:$Y$28,0))</f>
        <v>163275</v>
      </c>
      <c r="F24" s="75">
        <f>INDEX('Tabla 9'!$S$29:$Y$47,MATCH('Figura 8'!$B$24,'Tabla 9'!$S$29:$S$47,0),MATCH('Figura 8'!F23,'Tabla 9'!$S$28:$Y$28,0))</f>
        <v>181780</v>
      </c>
    </row>
    <row r="25" spans="2:8" x14ac:dyDescent="0.25">
      <c r="B25" s="74" t="s">
        <v>660</v>
      </c>
    </row>
  </sheetData>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EE2E9-4583-4BF1-B094-E77F936559EE}">
  <sheetPr>
    <tabColor rgb="FFFFC000"/>
  </sheetPr>
  <dimension ref="B2:Y53"/>
  <sheetViews>
    <sheetView showGridLines="0" zoomScaleNormal="100" workbookViewId="0"/>
    <sheetView workbookViewId="1"/>
  </sheetViews>
  <sheetFormatPr baseColWidth="10" defaultRowHeight="15" x14ac:dyDescent="0.25"/>
  <cols>
    <col min="1" max="1" width="5" customWidth="1"/>
    <col min="8" max="8" width="14.85546875" customWidth="1"/>
    <col min="11" max="11" width="5.85546875" customWidth="1"/>
  </cols>
  <sheetData>
    <row r="2" spans="2:8" x14ac:dyDescent="0.25">
      <c r="B2" s="261" t="s">
        <v>665</v>
      </c>
      <c r="C2" s="261"/>
      <c r="D2" s="261"/>
      <c r="E2" s="261"/>
      <c r="F2" s="261"/>
      <c r="G2" s="261"/>
      <c r="H2" s="261"/>
    </row>
    <row r="3" spans="2:8" x14ac:dyDescent="0.25">
      <c r="B3" s="588"/>
      <c r="C3" s="588"/>
      <c r="D3" s="588"/>
      <c r="E3" s="588"/>
      <c r="F3" s="588"/>
      <c r="G3" s="588"/>
      <c r="H3" s="588"/>
    </row>
    <row r="4" spans="2:8" x14ac:dyDescent="0.25">
      <c r="B4" s="588"/>
      <c r="C4" s="588"/>
      <c r="D4" s="588"/>
      <c r="E4" s="588"/>
      <c r="F4" s="588"/>
      <c r="G4" s="588"/>
      <c r="H4" s="588"/>
    </row>
    <row r="5" spans="2:8" x14ac:dyDescent="0.25">
      <c r="B5" s="588"/>
      <c r="C5" s="588"/>
      <c r="D5" s="588"/>
      <c r="E5" s="588"/>
      <c r="F5" s="588"/>
      <c r="G5" s="588"/>
      <c r="H5" s="588"/>
    </row>
    <row r="6" spans="2:8" x14ac:dyDescent="0.25">
      <c r="B6" s="588"/>
      <c r="C6" s="588"/>
      <c r="D6" s="588"/>
      <c r="E6" s="588"/>
      <c r="F6" s="588"/>
      <c r="G6" s="588"/>
      <c r="H6" s="588"/>
    </row>
    <row r="7" spans="2:8" x14ac:dyDescent="0.25">
      <c r="B7" s="588"/>
      <c r="C7" s="588"/>
      <c r="D7" s="588"/>
      <c r="E7" s="588"/>
      <c r="F7" s="588"/>
      <c r="G7" s="588"/>
      <c r="H7" s="588"/>
    </row>
    <row r="8" spans="2:8" x14ac:dyDescent="0.25">
      <c r="B8" s="588"/>
      <c r="C8" s="588"/>
      <c r="D8" s="588"/>
      <c r="E8" s="588"/>
      <c r="F8" s="588"/>
      <c r="G8" s="588"/>
      <c r="H8" s="588"/>
    </row>
    <row r="9" spans="2:8" x14ac:dyDescent="0.25">
      <c r="B9" s="588"/>
      <c r="C9" s="588"/>
      <c r="D9" s="588"/>
      <c r="E9" s="588"/>
      <c r="F9" s="588"/>
      <c r="G9" s="588"/>
      <c r="H9" s="588"/>
    </row>
    <row r="10" spans="2:8" x14ac:dyDescent="0.25">
      <c r="B10" s="588"/>
      <c r="C10" s="588"/>
      <c r="D10" s="588"/>
      <c r="E10" s="588"/>
      <c r="F10" s="588"/>
      <c r="G10" s="588"/>
      <c r="H10" s="588"/>
    </row>
    <row r="11" spans="2:8" x14ac:dyDescent="0.25">
      <c r="B11" s="588"/>
      <c r="C11" s="588"/>
      <c r="D11" s="588"/>
      <c r="E11" s="588"/>
      <c r="F11" s="588"/>
      <c r="G11" s="588"/>
      <c r="H11" s="588"/>
    </row>
    <row r="12" spans="2:8" x14ac:dyDescent="0.25">
      <c r="B12" s="588"/>
      <c r="C12" s="588"/>
      <c r="D12" s="588"/>
      <c r="E12" s="588"/>
      <c r="F12" s="588"/>
      <c r="G12" s="588"/>
      <c r="H12" s="588"/>
    </row>
    <row r="13" spans="2:8" x14ac:dyDescent="0.25">
      <c r="B13" s="588"/>
      <c r="C13" s="588"/>
      <c r="D13" s="588"/>
      <c r="E13" s="588"/>
      <c r="F13" s="588"/>
      <c r="G13" s="588"/>
      <c r="H13" s="588"/>
    </row>
    <row r="14" spans="2:8" ht="79.900000000000006" customHeight="1" x14ac:dyDescent="0.25">
      <c r="B14" s="588"/>
      <c r="C14" s="588"/>
      <c r="D14" s="588"/>
      <c r="E14" s="588"/>
      <c r="F14" s="588"/>
      <c r="G14" s="588"/>
      <c r="H14" s="588"/>
    </row>
    <row r="15" spans="2:8" x14ac:dyDescent="0.25">
      <c r="B15" s="588"/>
      <c r="C15" s="588"/>
      <c r="D15" s="588"/>
      <c r="E15" s="588"/>
      <c r="F15" s="588"/>
      <c r="G15" s="588"/>
      <c r="H15" s="588"/>
    </row>
    <row r="16" spans="2:8" x14ac:dyDescent="0.25">
      <c r="B16" s="588"/>
      <c r="C16" s="588"/>
      <c r="D16" s="588"/>
      <c r="E16" s="588"/>
      <c r="F16" s="588"/>
      <c r="G16" s="588"/>
      <c r="H16" s="588"/>
    </row>
    <row r="17" spans="2:25" s="29" customFormat="1" x14ac:dyDescent="0.25">
      <c r="B17" s="603" t="s">
        <v>659</v>
      </c>
      <c r="C17" s="603"/>
      <c r="D17" s="603"/>
      <c r="E17" s="603"/>
      <c r="F17" s="603"/>
      <c r="G17" s="603"/>
      <c r="H17" s="603"/>
      <c r="I17" s="603"/>
      <c r="J17" s="603"/>
      <c r="K17" s="603"/>
    </row>
    <row r="18" spans="2:25" x14ac:dyDescent="0.25">
      <c r="B18" s="603"/>
      <c r="C18" s="603"/>
      <c r="D18" s="603"/>
      <c r="E18" s="603"/>
      <c r="F18" s="603"/>
      <c r="G18" s="603"/>
      <c r="H18" s="603"/>
      <c r="I18" s="603"/>
      <c r="J18" s="603"/>
      <c r="K18" s="603"/>
    </row>
    <row r="21" spans="2:25" x14ac:dyDescent="0.25">
      <c r="B21" s="497" t="s">
        <v>6</v>
      </c>
      <c r="C21" s="21" t="s">
        <v>29</v>
      </c>
      <c r="D21" s="21" t="s">
        <v>30</v>
      </c>
      <c r="E21" s="21" t="s">
        <v>5</v>
      </c>
      <c r="F21" s="21" t="s">
        <v>14</v>
      </c>
      <c r="G21" s="21" t="s">
        <v>15</v>
      </c>
      <c r="H21" s="21" t="s">
        <v>44</v>
      </c>
      <c r="I21" s="21" t="s">
        <v>5</v>
      </c>
    </row>
    <row r="22" spans="2:25" x14ac:dyDescent="0.25">
      <c r="B22" s="497">
        <v>2025</v>
      </c>
      <c r="C22" s="76">
        <f>INDEX('Tabla 9'!$B$5:$J$22,MATCH($B$22,'Tabla 9'!$B$5:$B$22,0),MATCH(C21,'Tabla 9'!$B$4:$J$4,0))</f>
        <v>0.83606962612009472</v>
      </c>
      <c r="D22" s="76">
        <f>INDEX('Tabla 9'!$B$5:$J$22,MATCH($B$22,'Tabla 9'!$B$5:$B$22,0),MATCH(D21,'Tabla 9'!$B$4:$J$4,0))</f>
        <v>0.83078285511866812</v>
      </c>
      <c r="E22" s="76">
        <f>INDEX('Tabla 9'!$B$5:$J$22,MATCH($B$22,'Tabla 9'!$B$5:$B$22,0),MATCH(E21,'Tabla 9'!$B$4:$J$4,0))</f>
        <v>0.83360655737704914</v>
      </c>
      <c r="F22" s="76">
        <f>INDEX('Tabla 9'!$B$5:$J$22,MATCH($B$22,'Tabla 9'!$B$5:$B$22,0),MATCH(F21,'Tabla 9'!$B$4:$J$4,0))</f>
        <v>0.5131520285332144</v>
      </c>
      <c r="G22" s="76">
        <f>INDEX('Tabla 9'!$B$5:$J$22,MATCH($B$22,'Tabla 9'!$B$5:$B$22,0),MATCH(G21,'Tabla 9'!$B$4:$J$4,0))</f>
        <v>0.84149795447393261</v>
      </c>
      <c r="H22" s="76">
        <f>INDEX('Tabla 9'!$B$5:$J$22,MATCH($B$22,'Tabla 9'!$B$5:$B$22,0),MATCH(H21,'Tabla 9'!$B$4:$J$4,0))</f>
        <v>0.85075486143010259</v>
      </c>
      <c r="I22" s="76">
        <f>INDEX('Tabla 9'!$B$5:$J$22,MATCH($B$22,'Tabla 9'!$B$5:$B$22,0),MATCH(I21,'Tabla 9'!$B$4:$J$4,0))</f>
        <v>0.83360655737704914</v>
      </c>
    </row>
    <row r="27" spans="2:25" ht="18.399999999999999" customHeight="1" x14ac:dyDescent="0.25">
      <c r="B27" s="82" t="s">
        <v>581</v>
      </c>
      <c r="C27" s="82"/>
      <c r="D27" s="82"/>
      <c r="E27" s="82"/>
      <c r="F27" s="82"/>
      <c r="G27" s="82"/>
      <c r="H27" s="80"/>
      <c r="I27" s="6"/>
      <c r="J27" s="82" t="s">
        <v>145</v>
      </c>
      <c r="K27" s="83"/>
      <c r="L27" s="83"/>
      <c r="M27" s="83"/>
      <c r="N27" s="83"/>
      <c r="O27" s="83"/>
      <c r="P27" s="80"/>
      <c r="Q27" s="80"/>
    </row>
    <row r="28" spans="2:25" x14ac:dyDescent="0.25">
      <c r="B28" s="81" t="s">
        <v>666</v>
      </c>
      <c r="C28" s="6"/>
      <c r="D28" s="6"/>
      <c r="E28" s="6"/>
      <c r="F28" s="6"/>
      <c r="G28" s="6"/>
      <c r="H28" s="6"/>
      <c r="I28" s="6"/>
      <c r="J28" s="81" t="s">
        <v>666</v>
      </c>
      <c r="K28" s="77"/>
      <c r="L28" s="77"/>
      <c r="M28" s="77"/>
      <c r="N28" s="77"/>
      <c r="O28" s="77"/>
      <c r="P28" s="6"/>
      <c r="Q28" s="6"/>
    </row>
    <row r="29" spans="2:25" x14ac:dyDescent="0.25">
      <c r="B29" s="6"/>
      <c r="C29" s="6"/>
      <c r="D29" s="6"/>
      <c r="E29" s="6"/>
      <c r="F29" s="6"/>
      <c r="G29" s="6"/>
      <c r="H29" s="6"/>
      <c r="I29" s="6"/>
      <c r="J29" s="6"/>
      <c r="K29" s="6"/>
      <c r="L29" s="6"/>
      <c r="M29" s="6"/>
      <c r="N29" s="6"/>
      <c r="O29" s="6"/>
      <c r="P29" s="6"/>
      <c r="Q29" s="6"/>
    </row>
    <row r="30" spans="2:25" x14ac:dyDescent="0.25">
      <c r="B30" s="605" t="s">
        <v>146</v>
      </c>
      <c r="C30" s="92" t="s">
        <v>6</v>
      </c>
      <c r="D30" s="92" t="s">
        <v>29</v>
      </c>
      <c r="E30" s="92" t="s">
        <v>30</v>
      </c>
      <c r="F30" s="93" t="s">
        <v>5</v>
      </c>
      <c r="G30" s="6"/>
      <c r="H30" s="6"/>
      <c r="I30" s="6"/>
      <c r="J30" s="605" t="s">
        <v>146</v>
      </c>
      <c r="K30" s="473" t="s">
        <v>6</v>
      </c>
      <c r="L30" s="94" t="s">
        <v>13</v>
      </c>
      <c r="M30" s="94" t="s">
        <v>14</v>
      </c>
      <c r="N30" s="94" t="s">
        <v>157</v>
      </c>
      <c r="O30" s="94" t="s">
        <v>15</v>
      </c>
      <c r="P30" s="94" t="s">
        <v>44</v>
      </c>
      <c r="Q30" s="88" t="s">
        <v>5</v>
      </c>
    </row>
    <row r="31" spans="2:25" x14ac:dyDescent="0.25">
      <c r="B31" s="605"/>
      <c r="C31" s="92">
        <v>2008</v>
      </c>
      <c r="D31" s="501">
        <v>0.82525086696672323</v>
      </c>
      <c r="E31" s="501">
        <v>0.83589326492945848</v>
      </c>
      <c r="F31" s="76">
        <v>0.82767413865561179</v>
      </c>
      <c r="G31" s="6"/>
      <c r="H31" s="6"/>
      <c r="I31" s="6"/>
      <c r="J31" s="605"/>
      <c r="K31" s="474">
        <v>2008</v>
      </c>
      <c r="L31" s="76">
        <v>0.99095847288133587</v>
      </c>
      <c r="M31" s="76">
        <v>0.57729071865155224</v>
      </c>
      <c r="N31" s="76">
        <v>0.74497171590194844</v>
      </c>
      <c r="O31" s="76">
        <v>0.25576763485477177</v>
      </c>
      <c r="P31" s="65"/>
      <c r="Q31" s="95">
        <v>0.82767413865561179</v>
      </c>
      <c r="T31" s="53"/>
      <c r="U31" s="53"/>
      <c r="V31" s="53"/>
      <c r="W31" s="53"/>
      <c r="X31" s="53"/>
      <c r="Y31" s="53"/>
    </row>
    <row r="32" spans="2:25" x14ac:dyDescent="0.25">
      <c r="B32" s="605"/>
      <c r="C32" s="92">
        <v>2009</v>
      </c>
      <c r="D32" s="501">
        <v>0.88063690534336236</v>
      </c>
      <c r="E32" s="501">
        <v>0.94994268761378198</v>
      </c>
      <c r="F32" s="76">
        <v>0.90606454166512052</v>
      </c>
      <c r="G32" s="6"/>
      <c r="H32" s="6"/>
      <c r="I32" s="6"/>
      <c r="J32" s="605"/>
      <c r="K32" s="474">
        <v>2009</v>
      </c>
      <c r="L32" s="76">
        <v>0.97894363581101618</v>
      </c>
      <c r="M32" s="76">
        <v>0.60104549307714039</v>
      </c>
      <c r="N32" s="76">
        <v>0.93014139529264095</v>
      </c>
      <c r="O32" s="76">
        <v>0.84645061728395066</v>
      </c>
      <c r="P32" s="65"/>
      <c r="Q32" s="95">
        <v>0.90606454166512052</v>
      </c>
      <c r="T32" s="53"/>
      <c r="U32" s="53"/>
      <c r="V32" s="53"/>
      <c r="W32" s="53"/>
      <c r="X32" s="53"/>
      <c r="Y32" s="53"/>
    </row>
    <row r="33" spans="2:25" x14ac:dyDescent="0.25">
      <c r="B33" s="605"/>
      <c r="C33" s="92">
        <v>2010</v>
      </c>
      <c r="D33" s="501">
        <v>0.78714154169955275</v>
      </c>
      <c r="E33" s="501">
        <v>0.83851146689744704</v>
      </c>
      <c r="F33" s="76">
        <v>0.80656495418848173</v>
      </c>
      <c r="G33" s="6"/>
      <c r="H33" s="6"/>
      <c r="I33" s="6"/>
      <c r="J33" s="605"/>
      <c r="K33" s="474">
        <v>2010</v>
      </c>
      <c r="L33" s="76">
        <v>0.88934022648941413</v>
      </c>
      <c r="M33" s="76">
        <v>0.53396492642612381</v>
      </c>
      <c r="N33" s="76">
        <v>0.82438531572623308</v>
      </c>
      <c r="O33" s="76">
        <v>0.84210973331068451</v>
      </c>
      <c r="P33" s="65"/>
      <c r="Q33" s="95">
        <v>0.80656495418848173</v>
      </c>
      <c r="T33" s="53"/>
      <c r="U33" s="53"/>
      <c r="V33" s="53"/>
      <c r="W33" s="53"/>
      <c r="X33" s="53"/>
      <c r="Y33" s="53"/>
    </row>
    <row r="34" spans="2:25" x14ac:dyDescent="0.25">
      <c r="B34" s="605"/>
      <c r="C34" s="92">
        <v>2011</v>
      </c>
      <c r="D34" s="501">
        <v>0.69234849597675818</v>
      </c>
      <c r="E34" s="501">
        <v>0.76752902716717397</v>
      </c>
      <c r="F34" s="76">
        <v>0.7199208293282896</v>
      </c>
      <c r="G34" s="6"/>
      <c r="H34" s="6"/>
      <c r="I34" s="6"/>
      <c r="J34" s="605"/>
      <c r="K34" s="474">
        <v>2011</v>
      </c>
      <c r="L34" s="76">
        <v>0.8045520425143593</v>
      </c>
      <c r="M34" s="76">
        <v>0.49980709876543211</v>
      </c>
      <c r="N34" s="76">
        <v>0.72099357054430735</v>
      </c>
      <c r="O34" s="76">
        <v>0.84379547880081496</v>
      </c>
      <c r="P34" s="65"/>
      <c r="Q34" s="95">
        <v>0.7199208293282896</v>
      </c>
      <c r="T34" s="53"/>
      <c r="U34" s="53"/>
      <c r="V34" s="53"/>
      <c r="W34" s="53"/>
      <c r="X34" s="53"/>
      <c r="Y34" s="53"/>
    </row>
    <row r="35" spans="2:25" x14ac:dyDescent="0.25">
      <c r="B35" s="605"/>
      <c r="C35" s="92">
        <v>2012</v>
      </c>
      <c r="D35" s="501">
        <v>0.81118584910455604</v>
      </c>
      <c r="E35" s="501">
        <v>0.87960103839322312</v>
      </c>
      <c r="F35" s="76">
        <v>0.83737031459170008</v>
      </c>
      <c r="G35" s="6"/>
      <c r="H35" s="6"/>
      <c r="I35" s="6"/>
      <c r="J35" s="605"/>
      <c r="K35" s="474">
        <v>2012</v>
      </c>
      <c r="L35" s="76">
        <v>0.86588242231263635</v>
      </c>
      <c r="M35" s="76">
        <v>0.5371558683502381</v>
      </c>
      <c r="N35" s="76">
        <v>0.87314386937769561</v>
      </c>
      <c r="O35" s="76">
        <v>0.86061349693251532</v>
      </c>
      <c r="P35" s="65"/>
      <c r="Q35" s="95">
        <v>0.83737031459170008</v>
      </c>
      <c r="T35" s="53"/>
      <c r="U35" s="53"/>
      <c r="V35" s="53"/>
      <c r="W35" s="53"/>
      <c r="X35" s="53"/>
      <c r="Y35" s="53"/>
    </row>
    <row r="36" spans="2:25" x14ac:dyDescent="0.25">
      <c r="B36" s="605"/>
      <c r="C36" s="92">
        <v>2013</v>
      </c>
      <c r="D36" s="501">
        <v>0.8063281824871229</v>
      </c>
      <c r="E36" s="501">
        <v>0.85746317702091468</v>
      </c>
      <c r="F36" s="76">
        <v>0.82617764905382896</v>
      </c>
      <c r="G36" s="6"/>
      <c r="H36" s="6"/>
      <c r="I36" s="6"/>
      <c r="J36" s="605"/>
      <c r="K36" s="474">
        <v>2013</v>
      </c>
      <c r="L36" s="76">
        <v>0.90454127032832154</v>
      </c>
      <c r="M36" s="76">
        <v>0.54069941815128064</v>
      </c>
      <c r="N36" s="76">
        <v>0.85391487809960409</v>
      </c>
      <c r="O36" s="76">
        <v>0.8366302393138747</v>
      </c>
      <c r="P36" s="65"/>
      <c r="Q36" s="95">
        <v>0.82617764905382896</v>
      </c>
      <c r="T36" s="53"/>
      <c r="U36" s="53"/>
      <c r="V36" s="53"/>
      <c r="W36" s="53"/>
      <c r="X36" s="53"/>
      <c r="Y36" s="53"/>
    </row>
    <row r="37" spans="2:25" x14ac:dyDescent="0.25">
      <c r="B37" s="605"/>
      <c r="C37" s="92">
        <v>2014</v>
      </c>
      <c r="D37" s="501">
        <v>0.75515091368039522</v>
      </c>
      <c r="E37" s="501">
        <v>0.81720742093495591</v>
      </c>
      <c r="F37" s="76">
        <v>0.77918343875790685</v>
      </c>
      <c r="G37" s="6"/>
      <c r="H37" s="6"/>
      <c r="I37" s="6"/>
      <c r="J37" s="605"/>
      <c r="K37" s="474">
        <v>2014</v>
      </c>
      <c r="L37" s="76">
        <v>0.82781322284639436</v>
      </c>
      <c r="M37" s="76">
        <v>0.5702866278405847</v>
      </c>
      <c r="N37" s="76">
        <v>0.79233674877292981</v>
      </c>
      <c r="O37" s="76">
        <v>0.8759973404255319</v>
      </c>
      <c r="P37" s="65"/>
      <c r="Q37" s="95">
        <v>0.77918343875790685</v>
      </c>
      <c r="T37" s="53"/>
      <c r="U37" s="53"/>
      <c r="V37" s="53"/>
      <c r="W37" s="53"/>
      <c r="X37" s="53"/>
      <c r="Y37" s="53"/>
    </row>
    <row r="38" spans="2:25" x14ac:dyDescent="0.25">
      <c r="B38" s="605"/>
      <c r="C38" s="92">
        <v>2015</v>
      </c>
      <c r="D38" s="501">
        <v>0.7665055986618966</v>
      </c>
      <c r="E38" s="501">
        <v>0.82973546522264097</v>
      </c>
      <c r="F38" s="76">
        <v>0.79106100004262758</v>
      </c>
      <c r="G38" s="6"/>
      <c r="H38" s="6"/>
      <c r="I38" s="6"/>
      <c r="J38" s="605"/>
      <c r="K38" s="474">
        <v>2015</v>
      </c>
      <c r="L38" s="76">
        <v>0.85088596972533326</v>
      </c>
      <c r="M38" s="76">
        <v>0.63285598486895434</v>
      </c>
      <c r="N38" s="76">
        <v>0.80191495353421571</v>
      </c>
      <c r="O38" s="76">
        <v>0.83540746688077072</v>
      </c>
      <c r="P38" s="65"/>
      <c r="Q38" s="95">
        <v>0.79106100004262758</v>
      </c>
      <c r="T38" s="53"/>
      <c r="U38" s="53"/>
      <c r="V38" s="53"/>
      <c r="W38" s="53"/>
      <c r="X38" s="53"/>
      <c r="Y38" s="53"/>
    </row>
    <row r="39" spans="2:25" x14ac:dyDescent="0.25">
      <c r="B39" s="605"/>
      <c r="C39" s="92">
        <v>2016</v>
      </c>
      <c r="D39" s="501">
        <v>0.74833723436305066</v>
      </c>
      <c r="E39" s="501">
        <v>0.80665010510223578</v>
      </c>
      <c r="F39" s="76">
        <v>0.77034883720930236</v>
      </c>
      <c r="G39" s="6"/>
      <c r="H39" s="6"/>
      <c r="I39" s="6"/>
      <c r="J39" s="605"/>
      <c r="K39" s="474">
        <v>2016</v>
      </c>
      <c r="L39" s="76">
        <v>0.81556760996013333</v>
      </c>
      <c r="M39" s="76">
        <v>0.65432987977173251</v>
      </c>
      <c r="N39" s="76">
        <v>0.77574904760270447</v>
      </c>
      <c r="O39" s="76">
        <v>0.86303501945525296</v>
      </c>
      <c r="P39" s="65"/>
      <c r="Q39" s="95">
        <v>0.77034883720930236</v>
      </c>
      <c r="T39" s="53"/>
      <c r="U39" s="53"/>
      <c r="V39" s="53"/>
      <c r="W39" s="53"/>
      <c r="X39" s="53"/>
      <c r="Y39" s="53"/>
    </row>
    <row r="40" spans="2:25" x14ac:dyDescent="0.25">
      <c r="B40" s="605"/>
      <c r="C40" s="92">
        <v>2017</v>
      </c>
      <c r="D40" s="501">
        <v>0.76021282636355036</v>
      </c>
      <c r="E40" s="501">
        <v>0.82370233222893519</v>
      </c>
      <c r="F40" s="76">
        <v>0.78516400400834863</v>
      </c>
      <c r="G40" s="6"/>
      <c r="H40" s="6"/>
      <c r="I40" s="6"/>
      <c r="J40" s="605"/>
      <c r="K40" s="474">
        <v>2017</v>
      </c>
      <c r="L40" s="76">
        <v>0.81976269696779458</v>
      </c>
      <c r="M40" s="76">
        <v>0.65128233171105154</v>
      </c>
      <c r="N40" s="76">
        <v>0.7951047259710734</v>
      </c>
      <c r="O40" s="76">
        <v>0.88586784698071452</v>
      </c>
      <c r="P40" s="65"/>
      <c r="Q40" s="95">
        <v>0.78516400400834863</v>
      </c>
      <c r="T40" s="53"/>
      <c r="U40" s="53"/>
      <c r="V40" s="53"/>
      <c r="W40" s="53"/>
      <c r="X40" s="53"/>
      <c r="Y40" s="53"/>
    </row>
    <row r="41" spans="2:25" x14ac:dyDescent="0.25">
      <c r="B41" s="605"/>
      <c r="C41" s="92">
        <v>2018</v>
      </c>
      <c r="D41" s="501">
        <v>0.85644691652978944</v>
      </c>
      <c r="E41" s="501">
        <v>0.92188271126214416</v>
      </c>
      <c r="F41" s="76">
        <v>0.88250753912765134</v>
      </c>
      <c r="G41" s="6"/>
      <c r="H41" s="6"/>
      <c r="I41" s="6"/>
      <c r="J41" s="605"/>
      <c r="K41" s="474">
        <v>2018</v>
      </c>
      <c r="L41" s="76">
        <v>0.90143397666210934</v>
      </c>
      <c r="M41" s="76">
        <v>0.64929693961952029</v>
      </c>
      <c r="N41" s="76">
        <v>0.90695790258288234</v>
      </c>
      <c r="O41" s="76">
        <v>0.93584423874880307</v>
      </c>
      <c r="P41" s="65"/>
      <c r="Q41" s="95">
        <v>0.88250753912765134</v>
      </c>
      <c r="T41" s="53"/>
      <c r="U41" s="53"/>
      <c r="V41" s="53"/>
      <c r="W41" s="53"/>
      <c r="X41" s="53"/>
      <c r="Y41" s="53"/>
    </row>
    <row r="42" spans="2:25" x14ac:dyDescent="0.25">
      <c r="B42" s="605"/>
      <c r="C42" s="92">
        <v>2019</v>
      </c>
      <c r="D42" s="501">
        <v>0.85020008531556601</v>
      </c>
      <c r="E42" s="501">
        <v>0.92514591732354534</v>
      </c>
      <c r="F42" s="76">
        <v>0.88040670813780053</v>
      </c>
      <c r="G42" s="6"/>
      <c r="H42" s="6"/>
      <c r="I42" s="6"/>
      <c r="J42" s="605"/>
      <c r="K42" s="474">
        <v>2019</v>
      </c>
      <c r="L42" s="76">
        <v>0.90407163372191246</v>
      </c>
      <c r="M42" s="76">
        <v>0.65304395139350702</v>
      </c>
      <c r="N42" s="76">
        <v>0.90502803207721239</v>
      </c>
      <c r="O42" s="76">
        <v>0.92734761120263587</v>
      </c>
      <c r="P42" s="65"/>
      <c r="Q42" s="95">
        <v>0.88040670813780053</v>
      </c>
      <c r="T42" s="53"/>
      <c r="U42" s="53"/>
      <c r="V42" s="53"/>
      <c r="W42" s="53"/>
      <c r="X42" s="53"/>
      <c r="Y42" s="53"/>
    </row>
    <row r="43" spans="2:25" x14ac:dyDescent="0.25">
      <c r="B43" s="605"/>
      <c r="C43" s="92">
        <v>2020</v>
      </c>
      <c r="D43" s="501">
        <v>0.85546689088428463</v>
      </c>
      <c r="E43" s="501">
        <v>0.92077827355414454</v>
      </c>
      <c r="F43" s="76">
        <v>0.88323301413588695</v>
      </c>
      <c r="G43" s="6"/>
      <c r="H43" s="6"/>
      <c r="I43" s="6"/>
      <c r="J43" s="605"/>
      <c r="K43" s="474">
        <v>2020</v>
      </c>
      <c r="L43" s="76">
        <v>0.89614164904862581</v>
      </c>
      <c r="M43" s="76">
        <v>0.65592766242464839</v>
      </c>
      <c r="N43" s="76">
        <v>0.89931897551798134</v>
      </c>
      <c r="O43" s="76">
        <v>0.92549476135040742</v>
      </c>
      <c r="P43" s="65"/>
      <c r="Q43" s="95">
        <v>0.88323301413588695</v>
      </c>
      <c r="T43" s="53"/>
      <c r="U43" s="53"/>
      <c r="V43" s="53"/>
      <c r="W43" s="53"/>
      <c r="X43" s="53"/>
      <c r="Y43" s="53"/>
    </row>
    <row r="44" spans="2:25" x14ac:dyDescent="0.25">
      <c r="B44" s="605"/>
      <c r="C44" s="92">
        <v>2021</v>
      </c>
      <c r="D44" s="501">
        <v>0.8121639071944321</v>
      </c>
      <c r="E44" s="501">
        <v>0.89982209198890695</v>
      </c>
      <c r="F44" s="76">
        <v>0.84811149696187227</v>
      </c>
      <c r="G44" s="6"/>
      <c r="H44" s="6"/>
      <c r="I44" s="6"/>
      <c r="J44" s="605"/>
      <c r="K44" s="474">
        <v>2021</v>
      </c>
      <c r="L44" s="76">
        <v>0.85688086677445041</v>
      </c>
      <c r="M44" s="76">
        <v>0.60132989652209645</v>
      </c>
      <c r="N44" s="76">
        <v>0.87195147502514248</v>
      </c>
      <c r="O44" s="76">
        <v>0.93065248157727787</v>
      </c>
      <c r="P44" s="65"/>
      <c r="Q44" s="95">
        <v>0.84811149696187227</v>
      </c>
      <c r="T44" s="53"/>
      <c r="U44" s="53"/>
      <c r="V44" s="53"/>
      <c r="W44" s="53"/>
      <c r="X44" s="53"/>
      <c r="Y44" s="53"/>
    </row>
    <row r="45" spans="2:25" x14ac:dyDescent="0.25">
      <c r="B45" s="605"/>
      <c r="C45" s="92">
        <v>2022</v>
      </c>
      <c r="D45" s="501">
        <v>0.84730952618514188</v>
      </c>
      <c r="E45" s="501">
        <v>0.85480660371490069</v>
      </c>
      <c r="F45" s="76">
        <v>0.85100504862347204</v>
      </c>
      <c r="G45" s="6"/>
      <c r="H45" s="6"/>
      <c r="I45" s="6"/>
      <c r="J45" s="605"/>
      <c r="K45" s="474">
        <v>2022</v>
      </c>
      <c r="L45" s="76">
        <v>0.92971311475409835</v>
      </c>
      <c r="M45" s="76">
        <v>0.54641049305031186</v>
      </c>
      <c r="N45" s="76">
        <v>0.94345306010679564</v>
      </c>
      <c r="O45" s="76">
        <v>0.83953192571864665</v>
      </c>
      <c r="P45" s="65">
        <v>0.8662793349401986</v>
      </c>
      <c r="Q45" s="95">
        <v>0.85100504862347204</v>
      </c>
      <c r="T45" s="53"/>
      <c r="U45" s="53"/>
      <c r="V45" s="53"/>
      <c r="W45" s="53"/>
      <c r="X45" s="53"/>
      <c r="Y45" s="53"/>
    </row>
    <row r="46" spans="2:25" x14ac:dyDescent="0.25">
      <c r="B46" s="605"/>
      <c r="C46" s="92">
        <v>2023</v>
      </c>
      <c r="D46" s="501">
        <v>0.84583176514866387</v>
      </c>
      <c r="E46" s="501">
        <v>0.85874354950349163</v>
      </c>
      <c r="F46" s="76">
        <v>0.85179464944123917</v>
      </c>
      <c r="G46" s="6"/>
      <c r="H46" s="6"/>
      <c r="I46" s="6"/>
      <c r="J46" s="605"/>
      <c r="K46" s="474">
        <v>2023</v>
      </c>
      <c r="L46" s="76"/>
      <c r="M46" s="76">
        <v>0.57207023274806046</v>
      </c>
      <c r="N46" s="76"/>
      <c r="O46" s="76">
        <v>0.86064789502460359</v>
      </c>
      <c r="P46" s="65">
        <v>0.88435906759975957</v>
      </c>
      <c r="Q46" s="95">
        <v>0.85179464944123917</v>
      </c>
      <c r="T46" s="53"/>
      <c r="U46" s="53"/>
      <c r="V46" s="53"/>
      <c r="W46" s="53"/>
      <c r="X46" s="53"/>
      <c r="Y46" s="53"/>
    </row>
    <row r="47" spans="2:25" x14ac:dyDescent="0.25">
      <c r="B47" s="605"/>
      <c r="C47" s="92">
        <v>2024</v>
      </c>
      <c r="D47" s="501">
        <v>0.78322785762887404</v>
      </c>
      <c r="E47" s="501">
        <v>0.8041654592871631</v>
      </c>
      <c r="F47" s="76">
        <v>0.79273164909096294</v>
      </c>
      <c r="G47" s="6"/>
      <c r="H47" s="6"/>
      <c r="I47" s="6"/>
      <c r="J47" s="605"/>
      <c r="K47" s="474">
        <v>2024</v>
      </c>
      <c r="L47" s="76"/>
      <c r="M47" s="76">
        <v>0.51832562802874171</v>
      </c>
      <c r="N47" s="76"/>
      <c r="O47" s="76">
        <v>0.79147710912755542</v>
      </c>
      <c r="P47" s="65">
        <v>0.83209749563470237</v>
      </c>
      <c r="Q47" s="95">
        <v>0.79273164909096294</v>
      </c>
      <c r="T47" s="53"/>
      <c r="U47" s="53"/>
      <c r="V47" s="53"/>
      <c r="W47" s="53"/>
      <c r="X47" s="53"/>
      <c r="Y47" s="53"/>
    </row>
    <row r="48" spans="2:25" x14ac:dyDescent="0.25">
      <c r="B48" s="605"/>
      <c r="C48" s="92">
        <v>2025</v>
      </c>
      <c r="D48" s="501">
        <v>0.83606962612009472</v>
      </c>
      <c r="E48" s="501">
        <v>0.83078285511866812</v>
      </c>
      <c r="F48" s="76">
        <v>0.83360655737704914</v>
      </c>
      <c r="G48" s="6"/>
      <c r="H48" s="6"/>
      <c r="I48" s="6"/>
      <c r="J48" s="605"/>
      <c r="K48" s="474">
        <v>2025</v>
      </c>
      <c r="L48" s="76"/>
      <c r="M48" s="76">
        <v>0.5131520285332144</v>
      </c>
      <c r="N48" s="76"/>
      <c r="O48" s="76">
        <v>0.84149795447393261</v>
      </c>
      <c r="P48" s="65">
        <v>0.85075486143010259</v>
      </c>
      <c r="Q48" s="95">
        <v>0.83360655737704914</v>
      </c>
      <c r="T48" s="53"/>
      <c r="U48" s="53"/>
      <c r="V48" s="53"/>
      <c r="W48" s="53"/>
      <c r="X48" s="53"/>
      <c r="Y48" s="53"/>
    </row>
    <row r="49" spans="2:25" x14ac:dyDescent="0.25">
      <c r="B49" s="332" t="s">
        <v>684</v>
      </c>
      <c r="C49" s="332"/>
      <c r="D49" s="332"/>
      <c r="E49" s="332"/>
      <c r="F49" s="332"/>
      <c r="G49" s="6"/>
      <c r="H49" s="6"/>
      <c r="I49" s="6"/>
      <c r="J49" s="332" t="s">
        <v>684</v>
      </c>
      <c r="K49" s="332"/>
      <c r="L49" s="332"/>
      <c r="M49" s="332"/>
      <c r="N49" s="332"/>
      <c r="O49" s="332"/>
      <c r="P49" s="332"/>
      <c r="Q49" s="332"/>
      <c r="T49" s="53"/>
      <c r="U49" s="53"/>
      <c r="V49" s="53"/>
      <c r="W49" s="53"/>
      <c r="X49" s="53"/>
      <c r="Y49" s="53"/>
    </row>
    <row r="50" spans="2:25" ht="14.45" customHeight="1" x14ac:dyDescent="0.25">
      <c r="B50" s="604" t="s">
        <v>147</v>
      </c>
      <c r="C50" s="604"/>
      <c r="D50" s="604"/>
      <c r="E50" s="604"/>
      <c r="F50" s="604"/>
      <c r="G50" s="604"/>
      <c r="H50" s="84"/>
      <c r="I50" s="6"/>
      <c r="J50" s="604" t="s">
        <v>147</v>
      </c>
      <c r="K50" s="604"/>
      <c r="L50" s="604"/>
      <c r="M50" s="604"/>
      <c r="N50" s="604"/>
      <c r="O50" s="604"/>
      <c r="P50" s="604"/>
      <c r="Q50" s="604"/>
    </row>
    <row r="51" spans="2:25" x14ac:dyDescent="0.25">
      <c r="B51" s="604"/>
      <c r="C51" s="604"/>
      <c r="D51" s="604"/>
      <c r="E51" s="604"/>
      <c r="F51" s="604"/>
      <c r="G51" s="604"/>
      <c r="J51" s="604"/>
      <c r="K51" s="604"/>
      <c r="L51" s="604"/>
      <c r="M51" s="604"/>
      <c r="N51" s="604"/>
      <c r="O51" s="604"/>
      <c r="P51" s="604"/>
      <c r="Q51" s="604"/>
    </row>
    <row r="52" spans="2:25" x14ac:dyDescent="0.25">
      <c r="B52" s="604"/>
      <c r="C52" s="604"/>
      <c r="D52" s="604"/>
      <c r="E52" s="604"/>
      <c r="F52" s="604"/>
      <c r="G52" s="604"/>
      <c r="J52" s="604"/>
      <c r="K52" s="604"/>
      <c r="L52" s="604"/>
      <c r="M52" s="604"/>
      <c r="N52" s="604"/>
      <c r="O52" s="604"/>
      <c r="P52" s="604"/>
      <c r="Q52" s="604"/>
    </row>
    <row r="53" spans="2:25" ht="29.45" customHeight="1" x14ac:dyDescent="0.25">
      <c r="B53" s="604"/>
      <c r="C53" s="604"/>
      <c r="D53" s="604"/>
      <c r="E53" s="604"/>
      <c r="F53" s="604"/>
      <c r="G53" s="604"/>
      <c r="J53" s="604"/>
      <c r="K53" s="604"/>
      <c r="L53" s="604"/>
      <c r="M53" s="604"/>
      <c r="N53" s="604"/>
      <c r="O53" s="604"/>
      <c r="P53" s="604"/>
      <c r="Q53" s="604"/>
    </row>
  </sheetData>
  <mergeCells count="6">
    <mergeCell ref="B3:H16"/>
    <mergeCell ref="B17:K18"/>
    <mergeCell ref="J50:Q53"/>
    <mergeCell ref="B50:G53"/>
    <mergeCell ref="J30:J48"/>
    <mergeCell ref="B30:B48"/>
  </mergeCells>
  <pageMargins left="0.7" right="0.7" top="0.75" bottom="0.75" header="0.3" footer="0.3"/>
  <pageSetup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7E53A-4051-4DA3-BAE2-425F629580BC}">
  <sheetPr>
    <tabColor rgb="FFFFC000"/>
  </sheetPr>
  <dimension ref="B2:H40"/>
  <sheetViews>
    <sheetView showGridLines="0" zoomScaleNormal="100" workbookViewId="0"/>
    <sheetView workbookViewId="1"/>
  </sheetViews>
  <sheetFormatPr baseColWidth="10" defaultRowHeight="15" x14ac:dyDescent="0.25"/>
  <cols>
    <col min="1" max="1" width="5" customWidth="1"/>
    <col min="8" max="8" width="14.85546875" customWidth="1"/>
  </cols>
  <sheetData>
    <row r="2" spans="2:8" x14ac:dyDescent="0.25">
      <c r="B2" s="261" t="s">
        <v>668</v>
      </c>
      <c r="C2" s="261"/>
      <c r="D2" s="261"/>
      <c r="E2" s="261"/>
      <c r="F2" s="261"/>
      <c r="G2" s="261"/>
      <c r="H2" s="261"/>
    </row>
    <row r="14" spans="2:8" ht="79.900000000000006" customHeight="1" x14ac:dyDescent="0.25"/>
    <row r="17" spans="2:8" s="29" customFormat="1" x14ac:dyDescent="0.25">
      <c r="B17" s="321" t="s">
        <v>667</v>
      </c>
      <c r="C17" s="263"/>
      <c r="D17" s="263"/>
      <c r="E17" s="263"/>
      <c r="F17" s="263"/>
      <c r="G17" s="263"/>
      <c r="H17" s="263"/>
    </row>
    <row r="18" spans="2:8" x14ac:dyDescent="0.25">
      <c r="B18" s="264"/>
    </row>
    <row r="22" spans="2:8" ht="51" x14ac:dyDescent="0.25">
      <c r="B22" s="79" t="s">
        <v>6</v>
      </c>
      <c r="C22" s="96" t="s">
        <v>517</v>
      </c>
      <c r="D22" s="96" t="s">
        <v>518</v>
      </c>
    </row>
    <row r="23" spans="2:8" x14ac:dyDescent="0.25">
      <c r="B23" s="89">
        <v>2008</v>
      </c>
      <c r="C23" s="90">
        <f>+'Tabla 9'!Y29</f>
        <v>140391</v>
      </c>
      <c r="D23" s="90">
        <f>+'Tabla 9'!H29</f>
        <v>116198</v>
      </c>
    </row>
    <row r="24" spans="2:8" x14ac:dyDescent="0.25">
      <c r="B24" s="89">
        <v>2009</v>
      </c>
      <c r="C24" s="90">
        <f>+'Tabla 9'!Y30</f>
        <v>404235</v>
      </c>
      <c r="D24" s="90">
        <f>+'Tabla 9'!H30</f>
        <v>366263</v>
      </c>
    </row>
    <row r="25" spans="2:8" x14ac:dyDescent="0.25">
      <c r="B25" s="89">
        <v>2010</v>
      </c>
      <c r="C25" s="90">
        <f>+'Tabla 9'!Y31</f>
        <v>244480</v>
      </c>
      <c r="D25" s="90">
        <f>+'Tabla 9'!H31</f>
        <v>197189</v>
      </c>
    </row>
    <row r="26" spans="2:8" x14ac:dyDescent="0.25">
      <c r="B26" s="89">
        <v>2011</v>
      </c>
      <c r="C26" s="90">
        <f>+'Tabla 9'!Y32</f>
        <v>193506</v>
      </c>
      <c r="D26" s="90">
        <f>+'Tabla 9'!H32</f>
        <v>139309</v>
      </c>
    </row>
    <row r="27" spans="2:8" x14ac:dyDescent="0.25">
      <c r="B27" s="89">
        <v>2012</v>
      </c>
      <c r="C27" s="90">
        <f>+'Tabla 9'!Y33</f>
        <v>191232</v>
      </c>
      <c r="D27" s="90">
        <f>+'Tabla 9'!H33</f>
        <v>160132</v>
      </c>
    </row>
    <row r="28" spans="2:8" x14ac:dyDescent="0.25">
      <c r="B28" s="89">
        <v>2013</v>
      </c>
      <c r="C28" s="90">
        <f>+'Tabla 9'!Y34</f>
        <v>133274</v>
      </c>
      <c r="D28" s="90">
        <f>+'Tabla 9'!H34</f>
        <v>110108</v>
      </c>
    </row>
    <row r="29" spans="2:8" x14ac:dyDescent="0.25">
      <c r="B29" s="89">
        <v>2014</v>
      </c>
      <c r="C29" s="90">
        <f>+'Tabla 9'!Y35</f>
        <v>151293</v>
      </c>
      <c r="D29" s="90">
        <f>+'Tabla 9'!H35</f>
        <v>117885</v>
      </c>
    </row>
    <row r="30" spans="2:8" x14ac:dyDescent="0.25">
      <c r="B30" s="89">
        <v>2015</v>
      </c>
      <c r="C30" s="90">
        <f>+'Tabla 9'!Y36</f>
        <v>140754</v>
      </c>
      <c r="D30" s="90">
        <f>+'Tabla 9'!H36</f>
        <v>111345</v>
      </c>
    </row>
    <row r="31" spans="2:8" x14ac:dyDescent="0.25">
      <c r="B31" s="89">
        <v>2016</v>
      </c>
      <c r="C31" s="90">
        <f>+'Tabla 9'!Y37</f>
        <v>138632</v>
      </c>
      <c r="D31" s="90">
        <f>+'Tabla 9'!H37</f>
        <v>106795</v>
      </c>
    </row>
    <row r="32" spans="2:8" x14ac:dyDescent="0.25">
      <c r="B32" s="89">
        <v>2017</v>
      </c>
      <c r="C32" s="90">
        <f>+'Tabla 9'!Y38</f>
        <v>156673</v>
      </c>
      <c r="D32" s="90">
        <f>+'Tabla 9'!H38</f>
        <v>123014</v>
      </c>
    </row>
    <row r="33" spans="2:4" x14ac:dyDescent="0.25">
      <c r="B33" s="89">
        <v>2018</v>
      </c>
      <c r="C33" s="90">
        <f>+'Tabla 9'!Y39</f>
        <v>178071</v>
      </c>
      <c r="D33" s="90">
        <f>+'Tabla 9'!H39</f>
        <v>157149</v>
      </c>
    </row>
    <row r="34" spans="2:4" x14ac:dyDescent="0.25">
      <c r="B34" s="89">
        <v>2019</v>
      </c>
      <c r="C34" s="90">
        <f>+'Tabla 9'!Y40</f>
        <v>164934</v>
      </c>
      <c r="D34" s="90">
        <f>+'Tabla 9'!H40</f>
        <v>145209</v>
      </c>
    </row>
    <row r="35" spans="2:4" x14ac:dyDescent="0.25">
      <c r="B35" s="89">
        <v>2020</v>
      </c>
      <c r="C35" s="90">
        <f>+'Tabla 9'!Y41</f>
        <v>219300</v>
      </c>
      <c r="D35" s="90">
        <f>+'Tabla 9'!H41</f>
        <v>193693</v>
      </c>
    </row>
    <row r="36" spans="2:4" x14ac:dyDescent="0.25">
      <c r="B36" s="89">
        <v>2021</v>
      </c>
      <c r="C36" s="90">
        <f>+'Tabla 9'!Y42</f>
        <v>279613</v>
      </c>
      <c r="D36" s="90">
        <f>+'Tabla 9'!H42</f>
        <v>237143</v>
      </c>
    </row>
    <row r="37" spans="2:4" x14ac:dyDescent="0.25">
      <c r="B37" s="89">
        <v>2022</v>
      </c>
      <c r="C37" s="90">
        <f>+'Tabla 9'!Y43</f>
        <v>652257</v>
      </c>
      <c r="D37" s="90">
        <f>+'Tabla 9'!H43</f>
        <v>555074</v>
      </c>
    </row>
    <row r="38" spans="2:4" x14ac:dyDescent="0.25">
      <c r="B38" s="89">
        <v>2023</v>
      </c>
      <c r="C38" s="90">
        <f>+'Tabla 9'!Y44</f>
        <v>315967</v>
      </c>
      <c r="D38" s="90">
        <f>+'Tabla 9'!H44</f>
        <v>269139</v>
      </c>
    </row>
    <row r="39" spans="2:4" x14ac:dyDescent="0.25">
      <c r="B39" s="89">
        <v>2024</v>
      </c>
      <c r="C39" s="90">
        <f>+'Tabla 9'!Y45</f>
        <v>304113</v>
      </c>
      <c r="D39" s="90">
        <f>+'Tabla 9'!H45</f>
        <v>241080</v>
      </c>
    </row>
    <row r="40" spans="2:4" x14ac:dyDescent="0.25">
      <c r="B40" s="89">
        <v>2025</v>
      </c>
      <c r="C40" s="90">
        <f>+'Tabla 9'!Y46</f>
        <v>181780</v>
      </c>
      <c r="D40" s="90">
        <f>+'Tabla 9'!H46</f>
        <v>151533</v>
      </c>
    </row>
  </sheetData>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0B596-4C55-4E64-8A9C-AF0B546D6A53}">
  <sheetPr>
    <tabColor theme="3" tint="-0.249977111117893"/>
  </sheetPr>
  <dimension ref="B2:M215"/>
  <sheetViews>
    <sheetView showGridLines="0" workbookViewId="0"/>
    <sheetView workbookViewId="1"/>
  </sheetViews>
  <sheetFormatPr baseColWidth="10" defaultColWidth="11.5703125" defaultRowHeight="15" x14ac:dyDescent="0.25"/>
  <cols>
    <col min="1" max="1" width="4.7109375" style="405" customWidth="1"/>
    <col min="2" max="2" width="15" style="405" customWidth="1"/>
    <col min="3" max="3" width="20" style="405" customWidth="1"/>
    <col min="4" max="7" width="11.5703125" style="405"/>
    <col min="8" max="8" width="13.42578125" style="405" customWidth="1"/>
    <col min="9" max="11" width="11.5703125" style="405"/>
    <col min="12" max="12" width="15.7109375" style="405" bestFit="1" customWidth="1"/>
    <col min="13" max="13" width="15.28515625" style="405" customWidth="1"/>
    <col min="14" max="16384" width="11.5703125" style="405"/>
  </cols>
  <sheetData>
    <row r="2" spans="2:13" ht="15.75" x14ac:dyDescent="0.25">
      <c r="B2" s="606" t="s">
        <v>609</v>
      </c>
      <c r="C2" s="606" t="s">
        <v>192</v>
      </c>
      <c r="D2" s="606" t="s">
        <v>192</v>
      </c>
      <c r="E2" s="606" t="s">
        <v>192</v>
      </c>
    </row>
    <row r="3" spans="2:13" ht="15.75" x14ac:dyDescent="0.25">
      <c r="B3" s="438"/>
      <c r="C3" s="438"/>
      <c r="D3" s="438"/>
      <c r="E3" s="438"/>
    </row>
    <row r="4" spans="2:13" x14ac:dyDescent="0.25">
      <c r="B4" s="405" t="s">
        <v>610</v>
      </c>
      <c r="G4" s="405" t="s">
        <v>611</v>
      </c>
    </row>
    <row r="5" spans="2:13" ht="47.25" x14ac:dyDescent="0.25">
      <c r="B5" s="406" t="s">
        <v>64</v>
      </c>
      <c r="C5" s="406" t="s">
        <v>600</v>
      </c>
      <c r="D5" s="405" t="s">
        <v>601</v>
      </c>
      <c r="G5" s="407" t="s">
        <v>64</v>
      </c>
      <c r="H5" s="407" t="s">
        <v>600</v>
      </c>
      <c r="I5" s="405" t="s">
        <v>601</v>
      </c>
      <c r="L5" s="407" t="s">
        <v>627</v>
      </c>
      <c r="M5" s="437">
        <f>C215</f>
        <v>39674.876774193603</v>
      </c>
    </row>
    <row r="6" spans="2:13" x14ac:dyDescent="0.25">
      <c r="B6" s="408">
        <v>39630</v>
      </c>
      <c r="C6" s="417">
        <v>20395.891935483902</v>
      </c>
      <c r="D6" s="409" t="s">
        <v>602</v>
      </c>
      <c r="G6" s="410">
        <v>2008</v>
      </c>
      <c r="H6" s="417">
        <v>20429.088005464499</v>
      </c>
      <c r="I6" s="409" t="s">
        <v>602</v>
      </c>
    </row>
    <row r="7" spans="2:13" x14ac:dyDescent="0.25">
      <c r="B7" s="408">
        <v>39661</v>
      </c>
      <c r="C7" s="417">
        <v>20678.274516129</v>
      </c>
      <c r="G7" s="410">
        <v>2009</v>
      </c>
      <c r="H7" s="417">
        <v>21007.399479452</v>
      </c>
    </row>
    <row r="8" spans="2:13" x14ac:dyDescent="0.25">
      <c r="B8" s="408">
        <v>39692</v>
      </c>
      <c r="C8" s="417">
        <v>20896.363666666701</v>
      </c>
      <c r="G8" s="410">
        <v>2010</v>
      </c>
      <c r="H8" s="417">
        <v>21171.797616438402</v>
      </c>
    </row>
    <row r="9" spans="2:13" x14ac:dyDescent="0.25">
      <c r="B9" s="408">
        <v>39722</v>
      </c>
      <c r="C9" s="417">
        <v>21098.310967741902</v>
      </c>
      <c r="G9" s="410">
        <v>2011</v>
      </c>
      <c r="H9" s="417">
        <v>21846.3796164384</v>
      </c>
    </row>
    <row r="10" spans="2:13" x14ac:dyDescent="0.25">
      <c r="B10" s="408">
        <v>39753</v>
      </c>
      <c r="C10" s="417">
        <v>21316.353999999999</v>
      </c>
      <c r="G10" s="410">
        <v>2012</v>
      </c>
      <c r="H10" s="417">
        <v>22598.847978142101</v>
      </c>
    </row>
    <row r="11" spans="2:13" x14ac:dyDescent="0.25">
      <c r="B11" s="408">
        <v>39783</v>
      </c>
      <c r="C11" s="417">
        <v>21454.716451612901</v>
      </c>
      <c r="G11" s="410">
        <v>2013</v>
      </c>
      <c r="H11" s="417">
        <v>22980.898931506799</v>
      </c>
    </row>
    <row r="12" spans="2:13" x14ac:dyDescent="0.25">
      <c r="B12" s="408">
        <v>39814</v>
      </c>
      <c r="C12" s="417">
        <v>21379.179677419401</v>
      </c>
      <c r="G12" s="410">
        <v>2014</v>
      </c>
      <c r="H12" s="417">
        <v>23960.6016164383</v>
      </c>
    </row>
    <row r="13" spans="2:13" x14ac:dyDescent="0.25">
      <c r="B13" s="408">
        <v>39845</v>
      </c>
      <c r="C13" s="417">
        <v>21158.432857142801</v>
      </c>
      <c r="G13" s="410">
        <v>2015</v>
      </c>
      <c r="H13" s="417">
        <v>25021.996328767102</v>
      </c>
    </row>
    <row r="14" spans="2:13" x14ac:dyDescent="0.25">
      <c r="B14" s="408">
        <v>39873</v>
      </c>
      <c r="C14" s="417">
        <v>21004.3206451613</v>
      </c>
      <c r="G14" s="410">
        <v>2016</v>
      </c>
      <c r="H14" s="417">
        <v>26022.674754098301</v>
      </c>
    </row>
    <row r="15" spans="2:13" x14ac:dyDescent="0.25">
      <c r="B15" s="408">
        <v>39904</v>
      </c>
      <c r="C15" s="417">
        <v>20960.1116666667</v>
      </c>
      <c r="G15" s="410">
        <v>2017</v>
      </c>
      <c r="H15" s="417">
        <v>26571.926109589</v>
      </c>
    </row>
    <row r="16" spans="2:13" x14ac:dyDescent="0.25">
      <c r="B16" s="408">
        <v>39934</v>
      </c>
      <c r="C16" s="417">
        <v>21004.810322580601</v>
      </c>
      <c r="G16" s="410">
        <v>2018</v>
      </c>
      <c r="H16" s="417">
        <v>27165.7463013698</v>
      </c>
    </row>
    <row r="17" spans="2:8" x14ac:dyDescent="0.25">
      <c r="B17" s="408">
        <v>39965</v>
      </c>
      <c r="C17" s="417">
        <v>20962.551666666699</v>
      </c>
      <c r="G17" s="410">
        <v>2019</v>
      </c>
      <c r="H17" s="417">
        <v>27854.3918630136</v>
      </c>
    </row>
    <row r="18" spans="2:8" x14ac:dyDescent="0.25">
      <c r="B18" s="408">
        <v>39995</v>
      </c>
      <c r="C18" s="417">
        <v>20933.0980645161</v>
      </c>
      <c r="G18" s="410">
        <v>2020</v>
      </c>
      <c r="H18" s="417">
        <v>28678.814453551899</v>
      </c>
    </row>
    <row r="19" spans="2:8" x14ac:dyDescent="0.25">
      <c r="B19" s="408">
        <v>40026</v>
      </c>
      <c r="C19" s="417">
        <v>20952.434193548401</v>
      </c>
      <c r="G19" s="410">
        <v>2021</v>
      </c>
      <c r="H19" s="417">
        <v>29802.931589041102</v>
      </c>
    </row>
    <row r="20" spans="2:8" x14ac:dyDescent="0.25">
      <c r="B20" s="408">
        <v>40057</v>
      </c>
      <c r="C20" s="417">
        <v>20874.760999999999</v>
      </c>
      <c r="G20" s="410">
        <v>2022</v>
      </c>
      <c r="H20" s="417">
        <v>33047.141616438297</v>
      </c>
    </row>
    <row r="21" spans="2:8" x14ac:dyDescent="0.25">
      <c r="B21" s="408">
        <v>40087</v>
      </c>
      <c r="C21" s="417">
        <v>20867.2925806452</v>
      </c>
      <c r="G21" s="410">
        <v>2023</v>
      </c>
      <c r="H21" s="417">
        <v>35974.367534246601</v>
      </c>
    </row>
    <row r="22" spans="2:8" x14ac:dyDescent="0.25">
      <c r="B22" s="408">
        <v>40118</v>
      </c>
      <c r="C22" s="417">
        <v>21009.4233333333</v>
      </c>
      <c r="G22" s="410">
        <v>2024</v>
      </c>
      <c r="H22" s="417">
        <v>37508.218415300602</v>
      </c>
    </row>
    <row r="23" spans="2:8" x14ac:dyDescent="0.25">
      <c r="B23" s="408">
        <v>40148</v>
      </c>
      <c r="C23" s="417">
        <v>20989.8083870968</v>
      </c>
      <c r="G23" s="410">
        <v>2025</v>
      </c>
      <c r="H23" s="417">
        <v>39156.9674520548</v>
      </c>
    </row>
    <row r="24" spans="2:8" x14ac:dyDescent="0.25">
      <c r="B24" s="408">
        <v>40179</v>
      </c>
      <c r="C24" s="417">
        <v>20899.82</v>
      </c>
    </row>
    <row r="25" spans="2:8" x14ac:dyDescent="0.25">
      <c r="B25" s="408">
        <v>40210</v>
      </c>
      <c r="C25" s="417">
        <v>20877.509285714299</v>
      </c>
    </row>
    <row r="26" spans="2:8" x14ac:dyDescent="0.25">
      <c r="B26" s="408">
        <v>40238</v>
      </c>
      <c r="C26" s="417">
        <v>20966.133548387101</v>
      </c>
    </row>
    <row r="27" spans="2:8" x14ac:dyDescent="0.25">
      <c r="B27" s="408">
        <v>40269</v>
      </c>
      <c r="C27" s="417">
        <v>21019.746666666699</v>
      </c>
    </row>
    <row r="28" spans="2:8" x14ac:dyDescent="0.25">
      <c r="B28" s="408">
        <v>40299</v>
      </c>
      <c r="C28" s="417">
        <v>21064.6529032258</v>
      </c>
    </row>
    <row r="29" spans="2:8" x14ac:dyDescent="0.25">
      <c r="B29" s="408">
        <v>40330</v>
      </c>
      <c r="C29" s="417">
        <v>21160.6033333333</v>
      </c>
    </row>
    <row r="30" spans="2:8" x14ac:dyDescent="0.25">
      <c r="B30" s="408">
        <v>40360</v>
      </c>
      <c r="C30" s="417">
        <v>21224.291612903198</v>
      </c>
    </row>
    <row r="31" spans="2:8" x14ac:dyDescent="0.25">
      <c r="B31" s="408">
        <v>40391</v>
      </c>
      <c r="C31" s="417">
        <v>21261.049032258099</v>
      </c>
    </row>
    <row r="32" spans="2:8" x14ac:dyDescent="0.25">
      <c r="B32" s="408">
        <v>40422</v>
      </c>
      <c r="C32" s="417">
        <v>21344.513999999999</v>
      </c>
    </row>
    <row r="33" spans="2:3" x14ac:dyDescent="0.25">
      <c r="B33" s="408">
        <v>40452</v>
      </c>
      <c r="C33" s="417">
        <v>21356.857741935499</v>
      </c>
    </row>
    <row r="34" spans="2:3" x14ac:dyDescent="0.25">
      <c r="B34" s="408">
        <v>40483</v>
      </c>
      <c r="C34" s="417">
        <v>21421.108333333301</v>
      </c>
    </row>
    <row r="35" spans="2:3" x14ac:dyDescent="0.25">
      <c r="B35" s="408">
        <v>40513</v>
      </c>
      <c r="C35" s="417">
        <v>21445.153225806502</v>
      </c>
    </row>
    <row r="36" spans="2:3" x14ac:dyDescent="0.25">
      <c r="B36" s="408">
        <v>40544</v>
      </c>
      <c r="C36" s="417">
        <v>21466.625483871001</v>
      </c>
    </row>
    <row r="37" spans="2:3" x14ac:dyDescent="0.25">
      <c r="B37" s="408">
        <v>40575</v>
      </c>
      <c r="C37" s="417">
        <v>21497.9564285714</v>
      </c>
    </row>
    <row r="38" spans="2:3" x14ac:dyDescent="0.25">
      <c r="B38" s="408">
        <v>40603</v>
      </c>
      <c r="C38" s="417">
        <v>21556.352580645202</v>
      </c>
    </row>
    <row r="39" spans="2:3" x14ac:dyDescent="0.25">
      <c r="B39" s="408">
        <v>40634</v>
      </c>
      <c r="C39" s="417">
        <v>21633.360000000001</v>
      </c>
    </row>
    <row r="40" spans="2:3" x14ac:dyDescent="0.25">
      <c r="B40" s="408">
        <v>40664</v>
      </c>
      <c r="C40" s="417">
        <v>21773.987419354798</v>
      </c>
    </row>
    <row r="41" spans="2:3" x14ac:dyDescent="0.25">
      <c r="B41" s="408">
        <v>40695</v>
      </c>
      <c r="C41" s="417">
        <v>21848.666666666701</v>
      </c>
    </row>
    <row r="42" spans="2:3" x14ac:dyDescent="0.25">
      <c r="B42" s="408">
        <v>40725</v>
      </c>
      <c r="C42" s="417">
        <v>21924.2767741936</v>
      </c>
    </row>
    <row r="43" spans="2:3" x14ac:dyDescent="0.25">
      <c r="B43" s="408">
        <v>40756</v>
      </c>
      <c r="C43" s="417">
        <v>21964.0970967742</v>
      </c>
    </row>
    <row r="44" spans="2:3" x14ac:dyDescent="0.25">
      <c r="B44" s="408">
        <v>40787</v>
      </c>
      <c r="C44" s="417">
        <v>21992.348000000002</v>
      </c>
    </row>
    <row r="45" spans="2:3" x14ac:dyDescent="0.25">
      <c r="B45" s="408">
        <v>40817</v>
      </c>
      <c r="C45" s="417">
        <v>22053.134516129001</v>
      </c>
    </row>
    <row r="46" spans="2:3" x14ac:dyDescent="0.25">
      <c r="B46" s="408">
        <v>40848</v>
      </c>
      <c r="C46" s="417">
        <v>22160.109333333301</v>
      </c>
    </row>
    <row r="47" spans="2:3" x14ac:dyDescent="0.25">
      <c r="B47" s="408">
        <v>40878</v>
      </c>
      <c r="C47" s="417">
        <v>22259.9538709677</v>
      </c>
    </row>
    <row r="48" spans="2:3" x14ac:dyDescent="0.25">
      <c r="B48" s="408">
        <v>40909</v>
      </c>
      <c r="C48" s="417">
        <v>22346.118709677401</v>
      </c>
    </row>
    <row r="49" spans="2:3" x14ac:dyDescent="0.25">
      <c r="B49" s="408">
        <v>40940</v>
      </c>
      <c r="C49" s="417">
        <v>22447.5393103448</v>
      </c>
    </row>
    <row r="50" spans="2:3" x14ac:dyDescent="0.25">
      <c r="B50" s="408">
        <v>40969</v>
      </c>
      <c r="C50" s="417">
        <v>22492.497741935498</v>
      </c>
    </row>
    <row r="51" spans="2:3" x14ac:dyDescent="0.25">
      <c r="B51" s="408">
        <v>41000</v>
      </c>
      <c r="C51" s="417">
        <v>22567.729666666699</v>
      </c>
    </row>
    <row r="52" spans="2:3" x14ac:dyDescent="0.25">
      <c r="B52" s="408">
        <v>41030</v>
      </c>
      <c r="C52" s="417">
        <v>22608.960967741899</v>
      </c>
    </row>
    <row r="53" spans="2:3" x14ac:dyDescent="0.25">
      <c r="B53" s="408">
        <v>41061</v>
      </c>
      <c r="C53" s="417">
        <v>22626.4866666667</v>
      </c>
    </row>
    <row r="54" spans="2:3" x14ac:dyDescent="0.25">
      <c r="B54" s="408">
        <v>41091</v>
      </c>
      <c r="C54" s="417">
        <v>22609.474838709699</v>
      </c>
    </row>
    <row r="55" spans="2:3" x14ac:dyDescent="0.25">
      <c r="B55" s="408">
        <v>41122</v>
      </c>
      <c r="C55" s="417">
        <v>22562.0193548387</v>
      </c>
    </row>
    <row r="56" spans="2:3" x14ac:dyDescent="0.25">
      <c r="B56" s="408">
        <v>41153</v>
      </c>
      <c r="C56" s="417">
        <v>22571.054333333301</v>
      </c>
    </row>
    <row r="57" spans="2:3" x14ac:dyDescent="0.25">
      <c r="B57" s="408">
        <v>41183</v>
      </c>
      <c r="C57" s="417">
        <v>22650.361935483899</v>
      </c>
    </row>
    <row r="58" spans="2:3" x14ac:dyDescent="0.25">
      <c r="B58" s="408">
        <v>41214</v>
      </c>
      <c r="C58" s="417">
        <v>22813.4506666667</v>
      </c>
    </row>
    <row r="59" spans="2:3" x14ac:dyDescent="0.25">
      <c r="B59" s="408">
        <v>41244</v>
      </c>
      <c r="C59" s="417">
        <v>22886.633548387101</v>
      </c>
    </row>
    <row r="60" spans="2:3" x14ac:dyDescent="0.25">
      <c r="B60" s="408">
        <v>41275</v>
      </c>
      <c r="C60" s="417">
        <v>22811.8251612903</v>
      </c>
    </row>
    <row r="61" spans="2:3" x14ac:dyDescent="0.25">
      <c r="B61" s="408">
        <v>41306</v>
      </c>
      <c r="C61" s="417">
        <v>22818.5889285714</v>
      </c>
    </row>
    <row r="62" spans="2:3" x14ac:dyDescent="0.25">
      <c r="B62" s="408">
        <v>41334</v>
      </c>
      <c r="C62" s="417">
        <v>22857.279677419399</v>
      </c>
    </row>
    <row r="63" spans="2:3" x14ac:dyDescent="0.25">
      <c r="B63" s="408">
        <v>41365</v>
      </c>
      <c r="C63" s="417">
        <v>22898.588</v>
      </c>
    </row>
    <row r="64" spans="2:3" x14ac:dyDescent="0.25">
      <c r="B64" s="408">
        <v>41395</v>
      </c>
      <c r="C64" s="417">
        <v>22933.6912903226</v>
      </c>
    </row>
    <row r="65" spans="2:3" x14ac:dyDescent="0.25">
      <c r="B65" s="408">
        <v>41426</v>
      </c>
      <c r="C65" s="417">
        <v>22857.106666666699</v>
      </c>
    </row>
    <row r="66" spans="2:3" x14ac:dyDescent="0.25">
      <c r="B66" s="408">
        <v>41456</v>
      </c>
      <c r="C66" s="417">
        <v>22888.712258064501</v>
      </c>
    </row>
    <row r="67" spans="2:3" x14ac:dyDescent="0.25">
      <c r="B67" s="408">
        <v>41487</v>
      </c>
      <c r="C67" s="417">
        <v>23002.783548387099</v>
      </c>
    </row>
    <row r="68" spans="2:3" x14ac:dyDescent="0.25">
      <c r="B68" s="408">
        <v>41518</v>
      </c>
      <c r="C68" s="417">
        <v>23067.9173333328</v>
      </c>
    </row>
    <row r="69" spans="2:3" x14ac:dyDescent="0.25">
      <c r="B69" s="408">
        <v>41548</v>
      </c>
      <c r="C69" s="417">
        <v>23133.467741935401</v>
      </c>
    </row>
    <row r="70" spans="2:3" x14ac:dyDescent="0.25">
      <c r="B70" s="408">
        <v>41579</v>
      </c>
      <c r="C70" s="417">
        <v>23221.8786666667</v>
      </c>
    </row>
    <row r="71" spans="2:3" x14ac:dyDescent="0.25">
      <c r="B71" s="408">
        <v>41609</v>
      </c>
      <c r="C71" s="417">
        <v>23267.172580645201</v>
      </c>
    </row>
    <row r="72" spans="2:3" x14ac:dyDescent="0.25">
      <c r="B72" s="408">
        <v>41640</v>
      </c>
      <c r="C72" s="417">
        <v>23369.908064516101</v>
      </c>
    </row>
    <row r="73" spans="2:3" x14ac:dyDescent="0.25">
      <c r="B73" s="408">
        <v>41671</v>
      </c>
      <c r="C73" s="417">
        <v>23482.161428571399</v>
      </c>
    </row>
    <row r="74" spans="2:3" x14ac:dyDescent="0.25">
      <c r="B74" s="408">
        <v>41699</v>
      </c>
      <c r="C74" s="417">
        <v>23552.537419354801</v>
      </c>
    </row>
    <row r="75" spans="2:3" x14ac:dyDescent="0.25">
      <c r="B75" s="408">
        <v>41730</v>
      </c>
      <c r="C75" s="417">
        <v>23685.060333333298</v>
      </c>
    </row>
    <row r="76" spans="2:3" x14ac:dyDescent="0.25">
      <c r="B76" s="408">
        <v>41760</v>
      </c>
      <c r="C76" s="417">
        <v>23860.5496774194</v>
      </c>
    </row>
    <row r="77" spans="2:3" x14ac:dyDescent="0.25">
      <c r="B77" s="408">
        <v>41791</v>
      </c>
      <c r="C77" s="417">
        <v>23986.187000000002</v>
      </c>
    </row>
    <row r="78" spans="2:3" x14ac:dyDescent="0.25">
      <c r="B78" s="408">
        <v>41821</v>
      </c>
      <c r="C78" s="417">
        <v>24048.751612903201</v>
      </c>
    </row>
    <row r="79" spans="2:3" x14ac:dyDescent="0.25">
      <c r="B79" s="408">
        <v>41852</v>
      </c>
      <c r="C79" s="417">
        <v>24081.024516129</v>
      </c>
    </row>
    <row r="80" spans="2:3" x14ac:dyDescent="0.25">
      <c r="B80" s="408">
        <v>41883</v>
      </c>
      <c r="C80" s="417">
        <v>24134.09</v>
      </c>
    </row>
    <row r="81" spans="2:3" x14ac:dyDescent="0.25">
      <c r="B81" s="408">
        <v>41913</v>
      </c>
      <c r="C81" s="417">
        <v>24237.7883870968</v>
      </c>
    </row>
    <row r="82" spans="2:3" x14ac:dyDescent="0.25">
      <c r="B82" s="408">
        <v>41944</v>
      </c>
      <c r="C82" s="417">
        <v>24438.1753333333</v>
      </c>
    </row>
    <row r="83" spans="2:3" x14ac:dyDescent="0.25">
      <c r="B83" s="408">
        <v>41974</v>
      </c>
      <c r="C83" s="417">
        <v>24617.623870967702</v>
      </c>
    </row>
    <row r="84" spans="2:3" x14ac:dyDescent="0.25">
      <c r="B84" s="408">
        <v>42005</v>
      </c>
      <c r="C84" s="417">
        <v>24601.139032258099</v>
      </c>
    </row>
    <row r="85" spans="2:3" x14ac:dyDescent="0.25">
      <c r="B85" s="408">
        <v>42036</v>
      </c>
      <c r="C85" s="417">
        <v>24538.6128571429</v>
      </c>
    </row>
    <row r="86" spans="2:3" x14ac:dyDescent="0.25">
      <c r="B86" s="408">
        <v>42064</v>
      </c>
      <c r="C86" s="417">
        <v>24577.931290322598</v>
      </c>
    </row>
    <row r="87" spans="2:3" x14ac:dyDescent="0.25">
      <c r="B87" s="408">
        <v>42095</v>
      </c>
      <c r="C87" s="417">
        <v>24685.425999999999</v>
      </c>
    </row>
    <row r="88" spans="2:3" x14ac:dyDescent="0.25">
      <c r="B88" s="408">
        <v>42125</v>
      </c>
      <c r="C88" s="417">
        <v>24832.6138709677</v>
      </c>
    </row>
    <row r="89" spans="2:3" x14ac:dyDescent="0.25">
      <c r="B89" s="408">
        <v>42156</v>
      </c>
      <c r="C89" s="417">
        <v>24955.065666666698</v>
      </c>
    </row>
    <row r="90" spans="2:3" x14ac:dyDescent="0.25">
      <c r="B90" s="408">
        <v>42186</v>
      </c>
      <c r="C90" s="417">
        <v>25028.869354838698</v>
      </c>
    </row>
    <row r="91" spans="2:3" x14ac:dyDescent="0.25">
      <c r="B91" s="408">
        <v>42217</v>
      </c>
      <c r="C91" s="417">
        <v>25144.666774193502</v>
      </c>
    </row>
    <row r="92" spans="2:3" x14ac:dyDescent="0.25">
      <c r="B92" s="408">
        <v>42248</v>
      </c>
      <c r="C92" s="417">
        <v>25264.759333333299</v>
      </c>
    </row>
    <row r="93" spans="2:3" x14ac:dyDescent="0.25">
      <c r="B93" s="408">
        <v>42278</v>
      </c>
      <c r="C93" s="417">
        <v>25426.518064516102</v>
      </c>
    </row>
    <row r="94" spans="2:3" x14ac:dyDescent="0.25">
      <c r="B94" s="408">
        <v>42309</v>
      </c>
      <c r="C94" s="417">
        <v>25548.234333333301</v>
      </c>
    </row>
    <row r="95" spans="2:3" x14ac:dyDescent="0.25">
      <c r="B95" s="408">
        <v>42339</v>
      </c>
      <c r="C95" s="417">
        <v>25625.130645161302</v>
      </c>
    </row>
    <row r="96" spans="2:3" x14ac:dyDescent="0.25">
      <c r="B96" s="408">
        <v>42370</v>
      </c>
      <c r="C96" s="417">
        <v>25629.09</v>
      </c>
    </row>
    <row r="97" spans="2:3" x14ac:dyDescent="0.25">
      <c r="B97" s="408">
        <v>42401</v>
      </c>
      <c r="C97" s="417">
        <v>25661.046551724099</v>
      </c>
    </row>
    <row r="98" spans="2:3" x14ac:dyDescent="0.25">
      <c r="B98" s="408">
        <v>42430</v>
      </c>
      <c r="C98" s="417">
        <v>25772.425161290299</v>
      </c>
    </row>
    <row r="99" spans="2:3" x14ac:dyDescent="0.25">
      <c r="B99" s="408">
        <v>42461</v>
      </c>
      <c r="C99" s="417">
        <v>25858.011666666702</v>
      </c>
    </row>
    <row r="100" spans="2:3" x14ac:dyDescent="0.25">
      <c r="B100" s="408">
        <v>42491</v>
      </c>
      <c r="C100" s="417">
        <v>25954.3129032258</v>
      </c>
    </row>
    <row r="101" spans="2:3" x14ac:dyDescent="0.25">
      <c r="B101" s="408">
        <v>42522</v>
      </c>
      <c r="C101" s="417">
        <v>26025.992666666702</v>
      </c>
    </row>
    <row r="102" spans="2:3" x14ac:dyDescent="0.25">
      <c r="B102" s="408">
        <v>42552</v>
      </c>
      <c r="C102" s="417">
        <v>26093.0977419355</v>
      </c>
    </row>
    <row r="103" spans="2:3" x14ac:dyDescent="0.25">
      <c r="B103" s="408">
        <v>42583</v>
      </c>
      <c r="C103" s="417">
        <v>26181.8209677419</v>
      </c>
    </row>
    <row r="104" spans="2:3" x14ac:dyDescent="0.25">
      <c r="B104" s="408">
        <v>42614</v>
      </c>
      <c r="C104" s="417">
        <v>26222.2726666667</v>
      </c>
    </row>
    <row r="105" spans="2:3" x14ac:dyDescent="0.25">
      <c r="B105" s="408">
        <v>42644</v>
      </c>
      <c r="C105" s="417">
        <v>26238.100967741899</v>
      </c>
    </row>
    <row r="106" spans="2:3" x14ac:dyDescent="0.25">
      <c r="B106" s="408">
        <v>42675</v>
      </c>
      <c r="C106" s="417">
        <v>26288.1996666667</v>
      </c>
    </row>
    <row r="107" spans="2:3" x14ac:dyDescent="0.25">
      <c r="B107" s="408">
        <v>42705</v>
      </c>
      <c r="C107" s="417">
        <v>26334.194516128999</v>
      </c>
    </row>
    <row r="108" spans="2:3" x14ac:dyDescent="0.25">
      <c r="B108" s="408">
        <v>42736</v>
      </c>
      <c r="C108" s="417">
        <v>26340.7580645161</v>
      </c>
    </row>
    <row r="109" spans="2:3" x14ac:dyDescent="0.25">
      <c r="B109" s="408">
        <v>42767</v>
      </c>
      <c r="C109" s="417">
        <v>26336.933928571401</v>
      </c>
    </row>
    <row r="110" spans="2:3" x14ac:dyDescent="0.25">
      <c r="B110" s="408">
        <v>42795</v>
      </c>
      <c r="C110" s="417">
        <v>26442.877096774198</v>
      </c>
    </row>
    <row r="111" spans="2:3" x14ac:dyDescent="0.25">
      <c r="B111" s="408">
        <v>42826</v>
      </c>
      <c r="C111" s="417">
        <v>26512.416666666701</v>
      </c>
    </row>
    <row r="112" spans="2:3" x14ac:dyDescent="0.25">
      <c r="B112" s="408">
        <v>42856</v>
      </c>
      <c r="C112" s="417">
        <v>26603.1374193548</v>
      </c>
    </row>
    <row r="113" spans="2:3" x14ac:dyDescent="0.25">
      <c r="B113" s="408">
        <v>42887</v>
      </c>
      <c r="C113" s="417">
        <v>26651.216</v>
      </c>
    </row>
    <row r="114" spans="2:3" x14ac:dyDescent="0.25">
      <c r="B114" s="408">
        <v>42917</v>
      </c>
      <c r="C114" s="417">
        <v>26643.940322580602</v>
      </c>
    </row>
    <row r="115" spans="2:3" x14ac:dyDescent="0.25">
      <c r="B115" s="408">
        <v>42948</v>
      </c>
      <c r="C115" s="417">
        <v>26584.37</v>
      </c>
    </row>
    <row r="116" spans="2:3" x14ac:dyDescent="0.25">
      <c r="B116" s="408">
        <v>42979</v>
      </c>
      <c r="C116" s="417">
        <v>26631.130666666701</v>
      </c>
    </row>
    <row r="117" spans="2:3" x14ac:dyDescent="0.25">
      <c r="B117" s="408">
        <v>43009</v>
      </c>
      <c r="C117" s="417">
        <v>26656.655483871</v>
      </c>
    </row>
    <row r="118" spans="2:3" x14ac:dyDescent="0.25">
      <c r="B118" s="408">
        <v>43040</v>
      </c>
      <c r="C118" s="417">
        <v>26662.4136666667</v>
      </c>
    </row>
    <row r="119" spans="2:3" x14ac:dyDescent="0.25">
      <c r="B119" s="408">
        <v>43070</v>
      </c>
      <c r="C119" s="417">
        <v>26779.989677419399</v>
      </c>
    </row>
    <row r="120" spans="2:3" x14ac:dyDescent="0.25">
      <c r="B120" s="408">
        <v>43101</v>
      </c>
      <c r="C120" s="417">
        <v>26811.971612903199</v>
      </c>
    </row>
    <row r="121" spans="2:3" x14ac:dyDescent="0.25">
      <c r="B121" s="408">
        <v>43132</v>
      </c>
      <c r="C121" s="417">
        <v>26864.088214285701</v>
      </c>
    </row>
    <row r="122" spans="2:3" x14ac:dyDescent="0.25">
      <c r="B122" s="408">
        <v>43160</v>
      </c>
      <c r="C122" s="417">
        <v>26961.315806451599</v>
      </c>
    </row>
    <row r="123" spans="2:3" x14ac:dyDescent="0.25">
      <c r="B123" s="408">
        <v>43191</v>
      </c>
      <c r="C123" s="417">
        <v>26980.725666666702</v>
      </c>
    </row>
    <row r="124" spans="2:3" x14ac:dyDescent="0.25">
      <c r="B124" s="408">
        <v>43221</v>
      </c>
      <c r="C124" s="417">
        <v>27040.055806451601</v>
      </c>
    </row>
    <row r="125" spans="2:3" x14ac:dyDescent="0.25">
      <c r="B125" s="408">
        <v>43252</v>
      </c>
      <c r="C125" s="417">
        <v>27119.5906666667</v>
      </c>
    </row>
    <row r="126" spans="2:3" x14ac:dyDescent="0.25">
      <c r="B126" s="408">
        <v>43282</v>
      </c>
      <c r="C126" s="417">
        <v>27187.192580645202</v>
      </c>
    </row>
    <row r="127" spans="2:3" x14ac:dyDescent="0.25">
      <c r="B127" s="408">
        <v>43313</v>
      </c>
      <c r="C127" s="417">
        <v>27237.976774193499</v>
      </c>
    </row>
    <row r="128" spans="2:3" x14ac:dyDescent="0.25">
      <c r="B128" s="408">
        <v>43344</v>
      </c>
      <c r="C128" s="417">
        <v>27329.007000000001</v>
      </c>
    </row>
    <row r="129" spans="2:3" x14ac:dyDescent="0.25">
      <c r="B129" s="408">
        <v>43374</v>
      </c>
      <c r="C129" s="417">
        <v>27393.3358064516</v>
      </c>
    </row>
    <row r="130" spans="2:3" x14ac:dyDescent="0.25">
      <c r="B130" s="408">
        <v>43405</v>
      </c>
      <c r="C130" s="417">
        <v>27480.947</v>
      </c>
    </row>
    <row r="131" spans="2:3" x14ac:dyDescent="0.25">
      <c r="B131" s="408">
        <v>43435</v>
      </c>
      <c r="C131" s="417">
        <v>27561.532903225801</v>
      </c>
    </row>
    <row r="132" spans="2:3" x14ac:dyDescent="0.25">
      <c r="B132" s="408">
        <v>43466</v>
      </c>
      <c r="C132" s="417">
        <v>27558.530322580598</v>
      </c>
    </row>
    <row r="133" spans="2:3" x14ac:dyDescent="0.25">
      <c r="B133" s="408">
        <v>43497</v>
      </c>
      <c r="C133" s="417">
        <v>27546.036785714299</v>
      </c>
    </row>
    <row r="134" spans="2:3" x14ac:dyDescent="0.25">
      <c r="B134" s="408">
        <v>43525</v>
      </c>
      <c r="C134" s="417">
        <v>27564.616774193601</v>
      </c>
    </row>
    <row r="135" spans="2:3" x14ac:dyDescent="0.25">
      <c r="B135" s="408">
        <v>43556</v>
      </c>
      <c r="C135" s="417">
        <v>27601.09</v>
      </c>
    </row>
    <row r="136" spans="2:3" x14ac:dyDescent="0.25">
      <c r="B136" s="408">
        <v>43586</v>
      </c>
      <c r="C136" s="417">
        <v>27720.106451612901</v>
      </c>
    </row>
    <row r="137" spans="2:3" x14ac:dyDescent="0.25">
      <c r="B137" s="408">
        <v>43617</v>
      </c>
      <c r="C137" s="417">
        <v>27826.203333333298</v>
      </c>
    </row>
    <row r="138" spans="2:3" x14ac:dyDescent="0.25">
      <c r="B138" s="408">
        <v>43647</v>
      </c>
      <c r="C138" s="417">
        <v>27946.950322580698</v>
      </c>
    </row>
    <row r="139" spans="2:3" x14ac:dyDescent="0.25">
      <c r="B139" s="408">
        <v>43678</v>
      </c>
      <c r="C139" s="417">
        <v>27968.130645161302</v>
      </c>
    </row>
    <row r="140" spans="2:3" x14ac:dyDescent="0.25">
      <c r="B140" s="408">
        <v>43709</v>
      </c>
      <c r="C140" s="417">
        <v>28021.534</v>
      </c>
    </row>
    <row r="141" spans="2:3" x14ac:dyDescent="0.25">
      <c r="B141" s="408">
        <v>43739</v>
      </c>
      <c r="C141" s="417">
        <v>28063.1793548387</v>
      </c>
    </row>
    <row r="142" spans="2:3" x14ac:dyDescent="0.25">
      <c r="B142" s="408">
        <v>43770</v>
      </c>
      <c r="C142" s="417">
        <v>28122.857333333301</v>
      </c>
    </row>
    <row r="143" spans="2:3" x14ac:dyDescent="0.25">
      <c r="B143" s="408">
        <v>43800</v>
      </c>
      <c r="C143" s="417">
        <v>28288.5977419355</v>
      </c>
    </row>
    <row r="144" spans="2:3" x14ac:dyDescent="0.25">
      <c r="B144" s="408">
        <v>43831</v>
      </c>
      <c r="C144" s="417">
        <v>28324.553870967698</v>
      </c>
    </row>
    <row r="145" spans="2:3" x14ac:dyDescent="0.25">
      <c r="B145" s="408">
        <v>43862</v>
      </c>
      <c r="C145" s="417">
        <v>28387.7475862069</v>
      </c>
    </row>
    <row r="146" spans="2:3" x14ac:dyDescent="0.25">
      <c r="B146" s="408">
        <v>43891</v>
      </c>
      <c r="C146" s="417">
        <v>28539.732580645199</v>
      </c>
    </row>
    <row r="147" spans="2:3" x14ac:dyDescent="0.25">
      <c r="B147" s="408">
        <v>43922</v>
      </c>
      <c r="C147" s="417">
        <v>28648.235000000001</v>
      </c>
    </row>
    <row r="148" spans="2:3" x14ac:dyDescent="0.25">
      <c r="B148" s="408">
        <v>43952</v>
      </c>
      <c r="C148" s="417">
        <v>28713.1912903226</v>
      </c>
    </row>
    <row r="149" spans="2:3" x14ac:dyDescent="0.25">
      <c r="B149" s="408">
        <v>43983</v>
      </c>
      <c r="C149" s="417">
        <v>28709.147333333302</v>
      </c>
    </row>
    <row r="150" spans="2:3" x14ac:dyDescent="0.25">
      <c r="B150" s="408">
        <v>44013</v>
      </c>
      <c r="C150" s="417">
        <v>28681.357419354801</v>
      </c>
    </row>
    <row r="151" spans="2:3" x14ac:dyDescent="0.25">
      <c r="B151" s="408">
        <v>44044</v>
      </c>
      <c r="C151" s="417">
        <v>28667.727741935501</v>
      </c>
    </row>
    <row r="152" spans="2:3" x14ac:dyDescent="0.25">
      <c r="B152" s="408">
        <v>44075</v>
      </c>
      <c r="C152" s="417">
        <v>28694.021333333301</v>
      </c>
    </row>
    <row r="153" spans="2:3" x14ac:dyDescent="0.25">
      <c r="B153" s="408">
        <v>44105</v>
      </c>
      <c r="C153" s="417">
        <v>28760.638709677401</v>
      </c>
    </row>
    <row r="154" spans="2:3" x14ac:dyDescent="0.25">
      <c r="B154" s="408">
        <v>44136</v>
      </c>
      <c r="C154" s="417">
        <v>28933.883000000002</v>
      </c>
    </row>
    <row r="155" spans="2:3" x14ac:dyDescent="0.25">
      <c r="B155" s="408">
        <v>44166</v>
      </c>
      <c r="C155" s="417">
        <v>29075.469677419402</v>
      </c>
    </row>
    <row r="156" spans="2:3" x14ac:dyDescent="0.25">
      <c r="B156" s="408">
        <v>44197</v>
      </c>
      <c r="C156" s="417">
        <v>29085.914838709701</v>
      </c>
    </row>
    <row r="157" spans="2:3" x14ac:dyDescent="0.25">
      <c r="B157" s="408">
        <v>44228</v>
      </c>
      <c r="C157" s="417">
        <v>29194.814642857102</v>
      </c>
    </row>
    <row r="158" spans="2:3" x14ac:dyDescent="0.25">
      <c r="B158" s="408">
        <v>44256</v>
      </c>
      <c r="C158" s="417">
        <v>29360.0819354839</v>
      </c>
    </row>
    <row r="159" spans="2:3" x14ac:dyDescent="0.25">
      <c r="B159" s="408">
        <v>44287</v>
      </c>
      <c r="C159" s="417">
        <v>29439.7186666667</v>
      </c>
    </row>
    <row r="160" spans="2:3" x14ac:dyDescent="0.25">
      <c r="B160" s="408">
        <v>44317</v>
      </c>
      <c r="C160" s="417">
        <v>29555.982580645199</v>
      </c>
    </row>
    <row r="161" spans="2:3" x14ac:dyDescent="0.25">
      <c r="B161" s="408">
        <v>44348</v>
      </c>
      <c r="C161" s="417">
        <v>29665.83</v>
      </c>
    </row>
    <row r="162" spans="2:3" x14ac:dyDescent="0.25">
      <c r="B162" s="408">
        <v>44378</v>
      </c>
      <c r="C162" s="417">
        <v>29740.92</v>
      </c>
    </row>
    <row r="163" spans="2:3" x14ac:dyDescent="0.25">
      <c r="B163" s="408">
        <v>44409</v>
      </c>
      <c r="C163" s="417">
        <v>29827.728709677402</v>
      </c>
    </row>
    <row r="164" spans="2:3" x14ac:dyDescent="0.25">
      <c r="B164" s="408">
        <v>44440</v>
      </c>
      <c r="C164" s="417">
        <v>30025.934333333302</v>
      </c>
    </row>
    <row r="165" spans="2:3" x14ac:dyDescent="0.25">
      <c r="B165" s="408">
        <v>44470</v>
      </c>
      <c r="C165" s="417">
        <v>30214.652580645201</v>
      </c>
    </row>
    <row r="166" spans="2:3" x14ac:dyDescent="0.25">
      <c r="B166" s="408">
        <v>44501</v>
      </c>
      <c r="C166" s="417">
        <v>30573.237666666701</v>
      </c>
    </row>
    <row r="167" spans="2:3" x14ac:dyDescent="0.25">
      <c r="B167" s="408">
        <v>44531</v>
      </c>
      <c r="C167" s="417">
        <v>30907.416129032299</v>
      </c>
    </row>
    <row r="168" spans="2:3" x14ac:dyDescent="0.25">
      <c r="B168" s="408">
        <v>44562</v>
      </c>
      <c r="C168" s="417">
        <v>31096.086774193602</v>
      </c>
    </row>
    <row r="169" spans="2:3" x14ac:dyDescent="0.25">
      <c r="B169" s="408">
        <v>44593</v>
      </c>
      <c r="C169" s="417">
        <v>31365.3003571429</v>
      </c>
    </row>
    <row r="170" spans="2:3" x14ac:dyDescent="0.25">
      <c r="B170" s="408">
        <v>44621</v>
      </c>
      <c r="C170" s="417">
        <v>31669.700967741901</v>
      </c>
    </row>
    <row r="171" spans="2:3" x14ac:dyDescent="0.25">
      <c r="B171" s="408">
        <v>44652</v>
      </c>
      <c r="C171" s="417">
        <v>31905.758000000002</v>
      </c>
    </row>
    <row r="172" spans="2:3" x14ac:dyDescent="0.25">
      <c r="B172" s="408">
        <v>44682</v>
      </c>
      <c r="C172" s="417">
        <v>32453.994838709699</v>
      </c>
    </row>
    <row r="173" spans="2:3" x14ac:dyDescent="0.25">
      <c r="B173" s="408">
        <v>44713</v>
      </c>
      <c r="C173" s="417">
        <v>32894.819333333297</v>
      </c>
    </row>
    <row r="174" spans="2:3" x14ac:dyDescent="0.25">
      <c r="B174" s="408">
        <v>44743</v>
      </c>
      <c r="C174" s="417">
        <v>33268.629999999997</v>
      </c>
    </row>
    <row r="175" spans="2:3" x14ac:dyDescent="0.25">
      <c r="B175" s="408">
        <v>44774</v>
      </c>
      <c r="C175" s="417">
        <v>33616.1093548387</v>
      </c>
    </row>
    <row r="176" spans="2:3" x14ac:dyDescent="0.25">
      <c r="B176" s="408">
        <v>44805</v>
      </c>
      <c r="C176" s="417">
        <v>34059.411333333301</v>
      </c>
    </row>
    <row r="177" spans="2:3" x14ac:dyDescent="0.25">
      <c r="B177" s="408">
        <v>44835</v>
      </c>
      <c r="C177" s="417">
        <v>34446.456129032304</v>
      </c>
    </row>
    <row r="178" spans="2:3" x14ac:dyDescent="0.25">
      <c r="B178" s="408">
        <v>44866</v>
      </c>
      <c r="C178" s="417">
        <v>34722.909666666703</v>
      </c>
    </row>
    <row r="179" spans="2:3" x14ac:dyDescent="0.25">
      <c r="B179" s="408">
        <v>44896</v>
      </c>
      <c r="C179" s="417">
        <v>34948.7422580645</v>
      </c>
    </row>
    <row r="180" spans="2:3" x14ac:dyDescent="0.25">
      <c r="B180" s="408">
        <v>44927</v>
      </c>
      <c r="C180" s="417">
        <v>35227.236451612902</v>
      </c>
    </row>
    <row r="181" spans="2:3" x14ac:dyDescent="0.25">
      <c r="B181" s="408">
        <v>44958</v>
      </c>
      <c r="C181" s="417">
        <v>35382.141785714302</v>
      </c>
    </row>
    <row r="182" spans="2:3" x14ac:dyDescent="0.25">
      <c r="B182" s="408">
        <v>44986</v>
      </c>
      <c r="C182" s="417">
        <v>35579.618387096802</v>
      </c>
    </row>
    <row r="183" spans="2:3" x14ac:dyDescent="0.25">
      <c r="B183" s="408">
        <v>45017</v>
      </c>
      <c r="C183" s="417">
        <v>35666.653333333299</v>
      </c>
    </row>
    <row r="184" spans="2:3" x14ac:dyDescent="0.25">
      <c r="B184" s="408">
        <v>45047</v>
      </c>
      <c r="C184" s="417">
        <v>35969.534193548403</v>
      </c>
    </row>
    <row r="185" spans="2:3" x14ac:dyDescent="0.25">
      <c r="B185" s="412">
        <v>45078</v>
      </c>
      <c r="C185" s="417">
        <v>36069.313000000002</v>
      </c>
    </row>
    <row r="186" spans="2:3" x14ac:dyDescent="0.25">
      <c r="B186" s="412">
        <v>45108</v>
      </c>
      <c r="C186" s="417">
        <v>36079.886129032297</v>
      </c>
    </row>
    <row r="187" spans="2:3" x14ac:dyDescent="0.25">
      <c r="B187" s="412">
        <v>45139</v>
      </c>
      <c r="C187" s="417">
        <v>36068.7035483871</v>
      </c>
    </row>
    <row r="188" spans="2:3" x14ac:dyDescent="0.25">
      <c r="B188" s="412">
        <v>45170</v>
      </c>
      <c r="C188" s="417">
        <v>36175.904666666698</v>
      </c>
    </row>
    <row r="189" spans="2:3" x14ac:dyDescent="0.25">
      <c r="B189" s="412">
        <v>45200</v>
      </c>
      <c r="C189" s="417">
        <v>36273.5867741935</v>
      </c>
    </row>
    <row r="190" spans="2:3" x14ac:dyDescent="0.25">
      <c r="B190" s="412">
        <v>45231</v>
      </c>
      <c r="C190" s="417">
        <v>36489.394999999997</v>
      </c>
    </row>
    <row r="191" spans="2:3" x14ac:dyDescent="0.25">
      <c r="B191" s="412">
        <v>45261</v>
      </c>
      <c r="C191" s="417">
        <v>36669.376451612901</v>
      </c>
    </row>
    <row r="192" spans="2:3" x14ac:dyDescent="0.25">
      <c r="B192" s="412">
        <v>45292</v>
      </c>
      <c r="C192" s="417">
        <v>36805.725806451599</v>
      </c>
    </row>
    <row r="193" spans="2:3" x14ac:dyDescent="0.25">
      <c r="B193" s="412">
        <v>45323</v>
      </c>
      <c r="C193" s="417">
        <v>36750.9810344828</v>
      </c>
    </row>
    <row r="194" spans="2:3" x14ac:dyDescent="0.25">
      <c r="B194" s="412">
        <v>45352</v>
      </c>
      <c r="C194" s="417">
        <v>36984.323548387103</v>
      </c>
    </row>
    <row r="195" spans="2:3" x14ac:dyDescent="0.25">
      <c r="B195" s="412">
        <v>45383</v>
      </c>
      <c r="C195" s="417">
        <v>37187.508666666698</v>
      </c>
    </row>
    <row r="196" spans="2:3" x14ac:dyDescent="0.25">
      <c r="B196" s="412">
        <v>45413</v>
      </c>
      <c r="C196" s="417">
        <v>37349.9132258065</v>
      </c>
    </row>
    <row r="197" spans="2:3" x14ac:dyDescent="0.25">
      <c r="B197" s="412">
        <v>45444</v>
      </c>
      <c r="C197" s="417">
        <v>37514.773000000001</v>
      </c>
    </row>
    <row r="198" spans="2:3" x14ac:dyDescent="0.25">
      <c r="B198" s="412">
        <v>45474</v>
      </c>
      <c r="C198" s="417">
        <v>37591.378064516102</v>
      </c>
    </row>
    <row r="199" spans="2:3" x14ac:dyDescent="0.25">
      <c r="B199" s="412">
        <v>45505</v>
      </c>
      <c r="C199" s="417">
        <v>37638.547741935501</v>
      </c>
    </row>
    <row r="200" spans="2:3" x14ac:dyDescent="0.25">
      <c r="B200" s="413">
        <v>45536</v>
      </c>
      <c r="C200" s="417">
        <v>37849.906666666699</v>
      </c>
    </row>
    <row r="201" spans="2:3" x14ac:dyDescent="0.25">
      <c r="B201" s="413">
        <v>45566</v>
      </c>
      <c r="C201" s="417">
        <v>37950.088709677402</v>
      </c>
    </row>
    <row r="202" spans="2:3" x14ac:dyDescent="0.25">
      <c r="B202" s="413">
        <v>45597</v>
      </c>
      <c r="C202" s="417">
        <v>38078.207333333303</v>
      </c>
    </row>
    <row r="203" spans="2:3" x14ac:dyDescent="0.25">
      <c r="B203" s="413">
        <v>45627</v>
      </c>
      <c r="C203" s="417">
        <v>38367.6880645161</v>
      </c>
    </row>
    <row r="204" spans="2:3" x14ac:dyDescent="0.25">
      <c r="B204" s="412">
        <v>45658</v>
      </c>
      <c r="C204" s="417">
        <v>38415.854193548403</v>
      </c>
    </row>
    <row r="205" spans="2:3" x14ac:dyDescent="0.25">
      <c r="B205" s="412">
        <v>45689</v>
      </c>
      <c r="C205" s="417">
        <v>38467.253214285702</v>
      </c>
    </row>
    <row r="206" spans="2:3" x14ac:dyDescent="0.25">
      <c r="B206" s="412">
        <v>45717</v>
      </c>
      <c r="C206" s="417">
        <v>38807.3032258065</v>
      </c>
    </row>
    <row r="207" spans="2:3" x14ac:dyDescent="0.25">
      <c r="B207" s="412">
        <v>45748</v>
      </c>
      <c r="C207" s="417">
        <v>38983.110666666696</v>
      </c>
    </row>
    <row r="208" spans="2:3" x14ac:dyDescent="0.25">
      <c r="B208" s="412">
        <v>45778</v>
      </c>
      <c r="C208" s="417">
        <v>39146.9616129032</v>
      </c>
    </row>
    <row r="209" spans="2:3" x14ac:dyDescent="0.25">
      <c r="B209" s="412">
        <v>45809</v>
      </c>
      <c r="C209" s="417">
        <v>39229.275666666697</v>
      </c>
    </row>
    <row r="210" spans="2:3" x14ac:dyDescent="0.25">
      <c r="B210" s="412">
        <v>45839</v>
      </c>
      <c r="C210" s="417">
        <v>39246.154838709699</v>
      </c>
    </row>
    <row r="211" spans="2:3" x14ac:dyDescent="0.25">
      <c r="B211" s="412">
        <v>45870</v>
      </c>
      <c r="C211" s="417">
        <v>39231.836129032301</v>
      </c>
    </row>
    <row r="212" spans="2:3" x14ac:dyDescent="0.25">
      <c r="B212" s="412">
        <v>45901</v>
      </c>
      <c r="C212" s="417">
        <v>39471.966999999997</v>
      </c>
    </row>
    <row r="213" spans="2:3" x14ac:dyDescent="0.25">
      <c r="B213" s="412">
        <v>45931</v>
      </c>
      <c r="C213" s="417">
        <v>39527.188387096801</v>
      </c>
    </row>
    <row r="214" spans="2:3" x14ac:dyDescent="0.25">
      <c r="B214" s="412">
        <v>45962</v>
      </c>
      <c r="C214" s="417">
        <v>39637.466666666704</v>
      </c>
    </row>
    <row r="215" spans="2:3" x14ac:dyDescent="0.25">
      <c r="B215" s="412">
        <v>45992</v>
      </c>
      <c r="C215" s="417">
        <v>39674.876774193603</v>
      </c>
    </row>
  </sheetData>
  <mergeCells count="1">
    <mergeCell ref="B2:E2"/>
  </mergeCells>
  <hyperlinks>
    <hyperlink ref="I6" r:id="rId1" display="https://si3.bcentral.cl/Siete/ES/Siete/Cuadro/CAP_PRECIOS/MN_CAP_PRECIOS/UF_IVP_UTM/UF_IVP_UTM?cbFechaInicio=2008&amp;cbFechaTermino=2024&amp;cbFrecuencia=ANNUAL&amp;cbCalculo=NONE&amp;cbFechaBase=" xr:uid="{40F83BAB-6C37-485A-A58F-BA7931D2DF2D}"/>
    <hyperlink ref="D6" r:id="rId2" display="https://si3.bcentral.cl/Siete/ES/Siete/Cuadro/CAP_PRECIOS/MN_CAP_PRECIOS/UF_IVP_UTM/UF_IVP_UTM?cbFechaInicio=2008&amp;cbFechaTermino=2024&amp;cbFrecuencia=MONTHLY&amp;cbCalculo=NONE&amp;cbFechaBase=" xr:uid="{D02440BB-17D1-4880-900C-5D0CB11A38D5}"/>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F9D90-471A-4CBD-8697-D7F972D397A7}">
  <sheetPr>
    <tabColor theme="3" tint="-0.249977111117893"/>
  </sheetPr>
  <dimension ref="A2:H22"/>
  <sheetViews>
    <sheetView workbookViewId="0"/>
    <sheetView workbookViewId="1"/>
  </sheetViews>
  <sheetFormatPr baseColWidth="10" defaultColWidth="11.5703125" defaultRowHeight="15" x14ac:dyDescent="0.25"/>
  <cols>
    <col min="1" max="1" width="15" style="414" customWidth="1"/>
    <col min="2" max="2" width="20" style="414" customWidth="1"/>
    <col min="3" max="4" width="13.5703125" style="414" bestFit="1" customWidth="1"/>
    <col min="5" max="16384" width="11.5703125" style="414"/>
  </cols>
  <sheetData>
    <row r="2" spans="1:8" ht="15.75" x14ac:dyDescent="0.25">
      <c r="A2" s="607" t="s">
        <v>603</v>
      </c>
      <c r="B2" s="608"/>
      <c r="C2" s="608"/>
      <c r="D2" s="608"/>
      <c r="E2" s="609"/>
      <c r="H2" s="405" t="s">
        <v>601</v>
      </c>
    </row>
    <row r="3" spans="1:8" x14ac:dyDescent="0.25">
      <c r="H3" s="409" t="s">
        <v>602</v>
      </c>
    </row>
    <row r="4" spans="1:8" ht="31.5" x14ac:dyDescent="0.25">
      <c r="A4" s="407" t="s">
        <v>64</v>
      </c>
      <c r="B4" s="407" t="s">
        <v>604</v>
      </c>
      <c r="D4" s="415" t="s">
        <v>605</v>
      </c>
      <c r="E4" s="415" t="s">
        <v>606</v>
      </c>
    </row>
    <row r="5" spans="1:8" x14ac:dyDescent="0.25">
      <c r="A5" s="410">
        <v>2008</v>
      </c>
      <c r="B5" s="411">
        <v>93867.121297655496</v>
      </c>
      <c r="D5" s="411">
        <f t="shared" ref="D5:D22" si="0">B5*1000</f>
        <v>93867121.297655493</v>
      </c>
      <c r="E5" s="416">
        <f>D5/'AUX UF'!H6</f>
        <v>4594.7778614761137</v>
      </c>
      <c r="H5" s="405" t="s">
        <v>689</v>
      </c>
    </row>
    <row r="6" spans="1:8" x14ac:dyDescent="0.25">
      <c r="A6" s="410">
        <v>2009</v>
      </c>
      <c r="B6" s="411">
        <v>96138.477277419996</v>
      </c>
      <c r="D6" s="411">
        <f t="shared" si="0"/>
        <v>96138477.277419999</v>
      </c>
      <c r="E6" s="416">
        <f>D6/'AUX UF'!H7</f>
        <v>4576.4102011510786</v>
      </c>
      <c r="H6" s="409" t="s">
        <v>688</v>
      </c>
    </row>
    <row r="7" spans="1:8" x14ac:dyDescent="0.25">
      <c r="A7" s="410">
        <v>2010</v>
      </c>
      <c r="B7" s="411">
        <v>110777.866879136</v>
      </c>
      <c r="D7" s="411">
        <f t="shared" si="0"/>
        <v>110777866.879136</v>
      </c>
      <c r="E7" s="416">
        <f>D7/'AUX UF'!H8</f>
        <v>5232.331655821461</v>
      </c>
    </row>
    <row r="8" spans="1:8" x14ac:dyDescent="0.25">
      <c r="A8" s="410">
        <v>2011</v>
      </c>
      <c r="B8" s="411">
        <v>121509.298514008</v>
      </c>
      <c r="D8" s="411">
        <f t="shared" si="0"/>
        <v>121509298.514008</v>
      </c>
      <c r="E8" s="416">
        <f>D8/'AUX UF'!H9</f>
        <v>5561.9878738433081</v>
      </c>
    </row>
    <row r="9" spans="1:8" x14ac:dyDescent="0.25">
      <c r="A9" s="410">
        <v>2012</v>
      </c>
      <c r="B9" s="411">
        <v>129973.394043234</v>
      </c>
      <c r="D9" s="411">
        <f t="shared" si="0"/>
        <v>129973394.04323401</v>
      </c>
      <c r="E9" s="416">
        <f>D9/'AUX UF'!H10</f>
        <v>5751.3283052722845</v>
      </c>
    </row>
    <row r="10" spans="1:8" x14ac:dyDescent="0.25">
      <c r="A10" s="410">
        <v>2013</v>
      </c>
      <c r="B10" s="411">
        <v>137309.19201245799</v>
      </c>
      <c r="D10" s="411">
        <f t="shared" si="0"/>
        <v>137309192.012458</v>
      </c>
      <c r="E10" s="416">
        <f>D10/'AUX UF'!H11</f>
        <v>5974.9269348296539</v>
      </c>
    </row>
    <row r="11" spans="1:8" x14ac:dyDescent="0.25">
      <c r="A11" s="410">
        <v>2014</v>
      </c>
      <c r="B11" s="411">
        <v>147951.29003592499</v>
      </c>
      <c r="D11" s="411">
        <f t="shared" si="0"/>
        <v>147951290.035925</v>
      </c>
      <c r="E11" s="416">
        <f>D11/'AUX UF'!H12</f>
        <v>6174.7735889245041</v>
      </c>
    </row>
    <row r="12" spans="1:8" x14ac:dyDescent="0.25">
      <c r="A12" s="410">
        <v>2015</v>
      </c>
      <c r="B12" s="411">
        <v>158622.90285196801</v>
      </c>
      <c r="D12" s="411">
        <f t="shared" si="0"/>
        <v>158622902.85196802</v>
      </c>
      <c r="E12" s="416">
        <f>D12/'AUX UF'!H13</f>
        <v>6339.3384271903051</v>
      </c>
    </row>
    <row r="13" spans="1:8" x14ac:dyDescent="0.25">
      <c r="A13" s="410">
        <v>2016</v>
      </c>
      <c r="B13" s="411">
        <v>168764.687916644</v>
      </c>
      <c r="D13" s="411">
        <f t="shared" si="0"/>
        <v>168764687.91664401</v>
      </c>
      <c r="E13" s="416">
        <f>D13/'AUX UF'!H14</f>
        <v>6485.2936722065942</v>
      </c>
    </row>
    <row r="14" spans="1:8" x14ac:dyDescent="0.25">
      <c r="A14" s="410">
        <v>2017</v>
      </c>
      <c r="B14" s="411">
        <v>179314.91010605401</v>
      </c>
      <c r="D14" s="411">
        <f t="shared" si="0"/>
        <v>179314910.10605401</v>
      </c>
      <c r="E14" s="416">
        <f>D14/'AUX UF'!H15</f>
        <v>6748.2842367736648</v>
      </c>
    </row>
    <row r="15" spans="1:8" x14ac:dyDescent="0.25">
      <c r="A15" s="410">
        <v>2018</v>
      </c>
      <c r="B15" s="411">
        <v>189434.86740996499</v>
      </c>
      <c r="D15" s="411">
        <f t="shared" si="0"/>
        <v>189434867.40996501</v>
      </c>
      <c r="E15" s="416">
        <f>D15/'AUX UF'!H16</f>
        <v>6973.2988487937464</v>
      </c>
    </row>
    <row r="16" spans="1:8" x14ac:dyDescent="0.25">
      <c r="A16" s="410">
        <v>2019</v>
      </c>
      <c r="B16" s="411">
        <v>195531.72245080399</v>
      </c>
      <c r="D16" s="411">
        <f t="shared" si="0"/>
        <v>195531722.450804</v>
      </c>
      <c r="E16" s="416">
        <f>D16/'AUX UF'!H17</f>
        <v>7019.7807014570089</v>
      </c>
    </row>
    <row r="17" spans="1:7" x14ac:dyDescent="0.25">
      <c r="A17" s="410">
        <v>2020</v>
      </c>
      <c r="B17" s="411">
        <v>201257.74510728501</v>
      </c>
      <c r="D17" s="411">
        <f t="shared" si="0"/>
        <v>201257745.10728502</v>
      </c>
      <c r="E17" s="416">
        <f>D17/'AUX UF'!H18</f>
        <v>7017.6452179793314</v>
      </c>
    </row>
    <row r="18" spans="1:7" x14ac:dyDescent="0.25">
      <c r="A18" s="410">
        <v>2021</v>
      </c>
      <c r="B18" s="411">
        <v>239418.12371834501</v>
      </c>
      <c r="D18" s="411">
        <f t="shared" si="0"/>
        <v>239418123.71834502</v>
      </c>
      <c r="E18" s="416">
        <f>D18/'AUX UF'!H19</f>
        <v>8033.3749384031053</v>
      </c>
    </row>
    <row r="19" spans="1:7" x14ac:dyDescent="0.25">
      <c r="A19" s="410">
        <v>2022</v>
      </c>
      <c r="B19" s="411">
        <v>263065.44282437902</v>
      </c>
      <c r="D19" s="411">
        <f t="shared" si="0"/>
        <v>263065442.82437903</v>
      </c>
      <c r="E19" s="416">
        <f>D19/'AUX UF'!H20</f>
        <v>7960.3085155638728</v>
      </c>
    </row>
    <row r="20" spans="1:7" x14ac:dyDescent="0.25">
      <c r="A20" s="410">
        <v>2023</v>
      </c>
      <c r="B20" s="411">
        <v>281857.48645158298</v>
      </c>
      <c r="D20" s="411">
        <f t="shared" si="0"/>
        <v>281857486.45158297</v>
      </c>
      <c r="E20" s="416">
        <f>D20/'AUX UF'!H21</f>
        <v>7834.9532117072649</v>
      </c>
      <c r="G20" s="475"/>
    </row>
    <row r="21" spans="1:7" x14ac:dyDescent="0.25">
      <c r="A21" s="410">
        <v>2024</v>
      </c>
      <c r="B21" s="411">
        <v>311630.87849862501</v>
      </c>
      <c r="D21" s="411">
        <f t="shared" si="0"/>
        <v>311630878.49862504</v>
      </c>
      <c r="E21" s="416">
        <f>D21/'AUX UF'!H22</f>
        <v>8308.3359238278972</v>
      </c>
    </row>
    <row r="22" spans="1:7" x14ac:dyDescent="0.25">
      <c r="A22" s="503">
        <v>2025</v>
      </c>
      <c r="B22" s="504">
        <v>335481</v>
      </c>
      <c r="D22" s="411">
        <f t="shared" si="0"/>
        <v>335481000</v>
      </c>
      <c r="E22" s="416">
        <f>D22/'AUX UF'!H23</f>
        <v>8567.5940153122174</v>
      </c>
    </row>
  </sheetData>
  <mergeCells count="1">
    <mergeCell ref="A2:E2"/>
  </mergeCells>
  <hyperlinks>
    <hyperlink ref="H3" r:id="rId1" display="https://si3.bcentral.cl/Siete/ES/Siete/Cuadro/CAP_CCNN/MN_CCNN76/CCNN2018_P0_V2/637801082315858005?cbFechaInicio=2008&amp;cbFechaTermino=2024&amp;cbFrecuencia=ANNUAL&amp;cbCalculo=NONE&amp;cbFechaBase=" xr:uid="{C8329652-CEB7-4670-AB0C-483056B6998D}"/>
    <hyperlink ref="H6" r:id="rId2" xr:uid="{49E5E6B7-A59D-4E38-96DC-3C6ABD4E566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EFA3B-2404-4890-A769-978FC8888C7C}">
  <sheetPr>
    <tabColor rgb="FF009999"/>
  </sheetPr>
  <dimension ref="B2:J19"/>
  <sheetViews>
    <sheetView showGridLines="0" tabSelected="1" zoomScaleNormal="100" workbookViewId="0"/>
    <sheetView workbookViewId="1"/>
  </sheetViews>
  <sheetFormatPr baseColWidth="10" defaultRowHeight="15" x14ac:dyDescent="0.25"/>
  <cols>
    <col min="1" max="1" width="4.7109375" customWidth="1"/>
    <col min="2" max="2" width="16.5703125" bestFit="1" customWidth="1"/>
  </cols>
  <sheetData>
    <row r="2" spans="2:10" x14ac:dyDescent="0.25">
      <c r="B2" s="517" t="s">
        <v>654</v>
      </c>
      <c r="C2" s="517"/>
      <c r="D2" s="517"/>
      <c r="E2" s="517"/>
      <c r="F2" s="517"/>
      <c r="G2" s="517"/>
      <c r="H2" s="517"/>
    </row>
    <row r="3" spans="2:10" x14ac:dyDescent="0.25">
      <c r="B3" s="518" t="s">
        <v>61</v>
      </c>
      <c r="C3" s="518" t="s">
        <v>29</v>
      </c>
      <c r="D3" s="518"/>
      <c r="E3" s="518" t="s">
        <v>30</v>
      </c>
      <c r="F3" s="518"/>
      <c r="G3" s="518" t="s">
        <v>5</v>
      </c>
      <c r="H3" s="518"/>
    </row>
    <row r="4" spans="2:10" x14ac:dyDescent="0.25">
      <c r="B4" s="518"/>
      <c r="C4" s="41" t="s">
        <v>63</v>
      </c>
      <c r="D4" s="41" t="s">
        <v>62</v>
      </c>
      <c r="E4" s="41" t="s">
        <v>63</v>
      </c>
      <c r="F4" s="41" t="s">
        <v>62</v>
      </c>
      <c r="G4" s="41" t="s">
        <v>63</v>
      </c>
      <c r="H4" s="41" t="s">
        <v>62</v>
      </c>
    </row>
    <row r="5" spans="2:10" x14ac:dyDescent="0.25">
      <c r="B5" s="516" t="s">
        <v>95</v>
      </c>
      <c r="C5" s="516"/>
      <c r="D5" s="516"/>
      <c r="E5" s="516"/>
      <c r="F5" s="516"/>
      <c r="G5" s="516"/>
      <c r="H5" s="516"/>
    </row>
    <row r="6" spans="2:10" x14ac:dyDescent="0.25">
      <c r="B6" s="456" t="s">
        <v>2</v>
      </c>
      <c r="C6" s="457">
        <f>+'AUX Beneficiarios Mensual'!E216</f>
        <v>114124</v>
      </c>
      <c r="D6" s="458">
        <f>+C6/$G$14</f>
        <v>4.2178370705021569E-2</v>
      </c>
      <c r="E6" s="457">
        <f>+'AUX Beneficiarios Mensual'!L216</f>
        <v>90346</v>
      </c>
      <c r="F6" s="458">
        <f>+E6/$G$14</f>
        <v>3.3390409376782088E-2</v>
      </c>
      <c r="G6" s="457">
        <f>+'AUX Beneficiarios Mensual'!S216</f>
        <v>204470</v>
      </c>
      <c r="H6" s="458">
        <f>+G6/$G$14</f>
        <v>7.5568780081803663E-2</v>
      </c>
      <c r="I6" s="68"/>
    </row>
    <row r="7" spans="2:10" x14ac:dyDescent="0.25">
      <c r="B7" s="456" t="s">
        <v>4</v>
      </c>
      <c r="C7" s="457">
        <f>+'AUX Beneficiarios Mensual'!H216</f>
        <v>49779</v>
      </c>
      <c r="D7" s="458">
        <f>+C7/$G$14</f>
        <v>1.839750723182914E-2</v>
      </c>
      <c r="E7" s="457">
        <f>+'AUX Beneficiarios Mensual'!O216</f>
        <v>54920</v>
      </c>
      <c r="F7" s="458">
        <f>+E7/$G$14</f>
        <v>2.0297537057234104E-2</v>
      </c>
      <c r="G7" s="457">
        <f>+'AUX Beneficiarios Mensual'!V216</f>
        <v>104699</v>
      </c>
      <c r="H7" s="458">
        <f>+G7/$G$14</f>
        <v>3.8695044289063243E-2</v>
      </c>
      <c r="I7" s="68"/>
    </row>
    <row r="8" spans="2:10" x14ac:dyDescent="0.25">
      <c r="B8" s="459" t="s">
        <v>99</v>
      </c>
      <c r="C8" s="460">
        <f>SUM(C6:C7)</f>
        <v>163903</v>
      </c>
      <c r="D8" s="461">
        <f>+C8/$G$14</f>
        <v>6.0575877936850708E-2</v>
      </c>
      <c r="E8" s="460">
        <f>SUM(E6:E7)</f>
        <v>145266</v>
      </c>
      <c r="F8" s="461">
        <f>+E8/$G$14</f>
        <v>5.3687946434016191E-2</v>
      </c>
      <c r="G8" s="460">
        <f>SUM(G6:G7)</f>
        <v>309169</v>
      </c>
      <c r="H8" s="461">
        <f>+G8/$G$14</f>
        <v>0.11426382437086689</v>
      </c>
      <c r="I8" s="68"/>
    </row>
    <row r="9" spans="2:10" x14ac:dyDescent="0.25">
      <c r="B9" s="516" t="s">
        <v>96</v>
      </c>
      <c r="C9" s="516"/>
      <c r="D9" s="516"/>
      <c r="E9" s="516"/>
      <c r="F9" s="516"/>
      <c r="G9" s="516"/>
      <c r="H9" s="516"/>
      <c r="I9" s="68"/>
    </row>
    <row r="10" spans="2:10" x14ac:dyDescent="0.25">
      <c r="B10" s="456" t="s">
        <v>3</v>
      </c>
      <c r="C10" s="457">
        <f>+'AUX Beneficiarios Mensual'!G216</f>
        <v>99762</v>
      </c>
      <c r="D10" s="458">
        <f>+C10/$G$14</f>
        <v>3.6870409539398914E-2</v>
      </c>
      <c r="E10" s="457">
        <f>+'AUX Beneficiarios Mensual'!N216</f>
        <v>53695</v>
      </c>
      <c r="F10" s="458">
        <f>+E10/$G$14</f>
        <v>1.9844797019085671E-2</v>
      </c>
      <c r="G10" s="457">
        <f>+'AUX Beneficiarios Mensual'!U216</f>
        <v>153457</v>
      </c>
      <c r="H10" s="458">
        <f>+G10/$G$14</f>
        <v>5.6715206558484589E-2</v>
      </c>
      <c r="I10" s="68"/>
      <c r="J10" s="377"/>
    </row>
    <row r="11" spans="2:10" x14ac:dyDescent="0.25">
      <c r="B11" s="456" t="s">
        <v>44</v>
      </c>
      <c r="C11" s="457">
        <f>+'AUX Beneficiarios Mensual'!D216+'AUX Beneficiarios Mensual'!F216</f>
        <v>1297963</v>
      </c>
      <c r="D11" s="458">
        <f>+C11/$G$14</f>
        <v>0.47970597398795972</v>
      </c>
      <c r="E11" s="457">
        <f>+'AUX Beneficiarios Mensual'!K216+'AUX Beneficiarios Mensual'!M216</f>
        <v>945158</v>
      </c>
      <c r="F11" s="458">
        <f>+E11/$G$14</f>
        <v>0.34931499508268882</v>
      </c>
      <c r="G11" s="457">
        <f>+'AUX Beneficiarios Mensual'!R216+'AUX Beneficiarios Mensual'!T216</f>
        <v>2243121</v>
      </c>
      <c r="H11" s="458">
        <f>+G11/$G$14</f>
        <v>0.82902096907064848</v>
      </c>
      <c r="I11" s="68"/>
    </row>
    <row r="12" spans="2:10" x14ac:dyDescent="0.25">
      <c r="B12" s="459" t="s">
        <v>100</v>
      </c>
      <c r="C12" s="460">
        <f>SUM(C10:C11)</f>
        <v>1397725</v>
      </c>
      <c r="D12" s="461">
        <f>+C12/$G$14</f>
        <v>0.51657638352735857</v>
      </c>
      <c r="E12" s="460">
        <f>SUM(E10:E11)</f>
        <v>998853</v>
      </c>
      <c r="F12" s="461">
        <f>+E12/$G$14</f>
        <v>0.36915979210177446</v>
      </c>
      <c r="G12" s="460">
        <f>SUM(G10:G11)</f>
        <v>2396578</v>
      </c>
      <c r="H12" s="461">
        <f>+G12/$G$14</f>
        <v>0.88573617562913309</v>
      </c>
      <c r="I12" s="68"/>
    </row>
    <row r="13" spans="2:10" x14ac:dyDescent="0.25">
      <c r="B13" s="516" t="s">
        <v>5</v>
      </c>
      <c r="C13" s="516"/>
      <c r="D13" s="516"/>
      <c r="E13" s="516"/>
      <c r="F13" s="516"/>
      <c r="G13" s="516"/>
      <c r="H13" s="516"/>
    </row>
    <row r="14" spans="2:10" x14ac:dyDescent="0.25">
      <c r="B14" s="459" t="s">
        <v>5</v>
      </c>
      <c r="C14" s="462">
        <f>C8+C12</f>
        <v>1561628</v>
      </c>
      <c r="D14" s="461">
        <f>+C14/$G$14</f>
        <v>0.57715226146420928</v>
      </c>
      <c r="E14" s="462">
        <f>E8+E12</f>
        <v>1144119</v>
      </c>
      <c r="F14" s="461">
        <f>+E14/$G$14</f>
        <v>0.42284773853579066</v>
      </c>
      <c r="G14" s="462">
        <f>G8+G12</f>
        <v>2705747</v>
      </c>
      <c r="H14" s="461">
        <v>1</v>
      </c>
    </row>
    <row r="15" spans="2:10" ht="51.6" customHeight="1" x14ac:dyDescent="0.25">
      <c r="B15" s="514" t="s">
        <v>695</v>
      </c>
      <c r="C15" s="515"/>
      <c r="D15" s="515"/>
      <c r="E15" s="515"/>
      <c r="F15" s="515"/>
      <c r="G15" s="515"/>
      <c r="H15" s="515"/>
    </row>
    <row r="19" spans="4:4" x14ac:dyDescent="0.25">
      <c r="D19" s="71"/>
    </row>
  </sheetData>
  <mergeCells count="9">
    <mergeCell ref="B15:H15"/>
    <mergeCell ref="B5:H5"/>
    <mergeCell ref="B9:H9"/>
    <mergeCell ref="B13:H13"/>
    <mergeCell ref="B2:H2"/>
    <mergeCell ref="B3:B4"/>
    <mergeCell ref="C3:D3"/>
    <mergeCell ref="E3:F3"/>
    <mergeCell ref="G3:H3"/>
  </mergeCell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F7DFD-FB8B-4A89-B627-603929EAA8FE}">
  <sheetPr>
    <tabColor theme="3" tint="-0.249977111117893"/>
  </sheetPr>
  <dimension ref="B1:Y216"/>
  <sheetViews>
    <sheetView showGridLines="0" workbookViewId="0">
      <pane xSplit="3" ySplit="6" topLeftCell="D194" activePane="bottomRight" state="frozen"/>
      <selection activeCell="L14" sqref="L14"/>
      <selection pane="topRight" activeCell="L14" sqref="L14"/>
      <selection pane="bottomLeft" activeCell="L14" sqref="L14"/>
      <selection pane="bottomRight" activeCell="K207" sqref="K207"/>
    </sheetView>
    <sheetView workbookViewId="1"/>
  </sheetViews>
  <sheetFormatPr baseColWidth="10" defaultColWidth="11.42578125" defaultRowHeight="11.25" x14ac:dyDescent="0.2"/>
  <cols>
    <col min="1" max="1" width="4.7109375" style="381" customWidth="1"/>
    <col min="2" max="2" width="8.7109375" style="381" customWidth="1"/>
    <col min="3" max="3" width="11.5703125" style="382" bestFit="1" customWidth="1"/>
    <col min="4" max="22" width="10.7109375" style="382" customWidth="1"/>
    <col min="23" max="23" width="10.7109375" style="404" customWidth="1"/>
    <col min="24" max="25" width="10.7109375" style="382" customWidth="1"/>
    <col min="26" max="251" width="11.42578125" style="381"/>
    <col min="252" max="252" width="11.5703125" style="381" bestFit="1" customWidth="1"/>
    <col min="253" max="273" width="10.7109375" style="381" customWidth="1"/>
    <col min="274" max="507" width="11.42578125" style="381"/>
    <col min="508" max="508" width="11.5703125" style="381" bestFit="1" customWidth="1"/>
    <col min="509" max="529" width="10.7109375" style="381" customWidth="1"/>
    <col min="530" max="763" width="11.42578125" style="381"/>
    <col min="764" max="764" width="11.5703125" style="381" bestFit="1" customWidth="1"/>
    <col min="765" max="785" width="10.7109375" style="381" customWidth="1"/>
    <col min="786" max="1019" width="11.42578125" style="381"/>
    <col min="1020" max="1020" width="11.5703125" style="381" bestFit="1" customWidth="1"/>
    <col min="1021" max="1041" width="10.7109375" style="381" customWidth="1"/>
    <col min="1042" max="1275" width="11.42578125" style="381"/>
    <col min="1276" max="1276" width="11.5703125" style="381" bestFit="1" customWidth="1"/>
    <col min="1277" max="1297" width="10.7109375" style="381" customWidth="1"/>
    <col min="1298" max="1531" width="11.42578125" style="381"/>
    <col min="1532" max="1532" width="11.5703125" style="381" bestFit="1" customWidth="1"/>
    <col min="1533" max="1553" width="10.7109375" style="381" customWidth="1"/>
    <col min="1554" max="1787" width="11.42578125" style="381"/>
    <col min="1788" max="1788" width="11.5703125" style="381" bestFit="1" customWidth="1"/>
    <col min="1789" max="1809" width="10.7109375" style="381" customWidth="1"/>
    <col min="1810" max="2043" width="11.42578125" style="381"/>
    <col min="2044" max="2044" width="11.5703125" style="381" bestFit="1" customWidth="1"/>
    <col min="2045" max="2065" width="10.7109375" style="381" customWidth="1"/>
    <col min="2066" max="2299" width="11.42578125" style="381"/>
    <col min="2300" max="2300" width="11.5703125" style="381" bestFit="1" customWidth="1"/>
    <col min="2301" max="2321" width="10.7109375" style="381" customWidth="1"/>
    <col min="2322" max="2555" width="11.42578125" style="381"/>
    <col min="2556" max="2556" width="11.5703125" style="381" bestFit="1" customWidth="1"/>
    <col min="2557" max="2577" width="10.7109375" style="381" customWidth="1"/>
    <col min="2578" max="2811" width="11.42578125" style="381"/>
    <col min="2812" max="2812" width="11.5703125" style="381" bestFit="1" customWidth="1"/>
    <col min="2813" max="2833" width="10.7109375" style="381" customWidth="1"/>
    <col min="2834" max="3067" width="11.42578125" style="381"/>
    <col min="3068" max="3068" width="11.5703125" style="381" bestFit="1" customWidth="1"/>
    <col min="3069" max="3089" width="10.7109375" style="381" customWidth="1"/>
    <col min="3090" max="3323" width="11.42578125" style="381"/>
    <col min="3324" max="3324" width="11.5703125" style="381" bestFit="1" customWidth="1"/>
    <col min="3325" max="3345" width="10.7109375" style="381" customWidth="1"/>
    <col min="3346" max="3579" width="11.42578125" style="381"/>
    <col min="3580" max="3580" width="11.5703125" style="381" bestFit="1" customWidth="1"/>
    <col min="3581" max="3601" width="10.7109375" style="381" customWidth="1"/>
    <col min="3602" max="3835" width="11.42578125" style="381"/>
    <col min="3836" max="3836" width="11.5703125" style="381" bestFit="1" customWidth="1"/>
    <col min="3837" max="3857" width="10.7109375" style="381" customWidth="1"/>
    <col min="3858" max="4091" width="11.42578125" style="381"/>
    <col min="4092" max="4092" width="11.5703125" style="381" bestFit="1" customWidth="1"/>
    <col min="4093" max="4113" width="10.7109375" style="381" customWidth="1"/>
    <col min="4114" max="4347" width="11.42578125" style="381"/>
    <col min="4348" max="4348" width="11.5703125" style="381" bestFit="1" customWidth="1"/>
    <col min="4349" max="4369" width="10.7109375" style="381" customWidth="1"/>
    <col min="4370" max="4603" width="11.42578125" style="381"/>
    <col min="4604" max="4604" width="11.5703125" style="381" bestFit="1" customWidth="1"/>
    <col min="4605" max="4625" width="10.7109375" style="381" customWidth="1"/>
    <col min="4626" max="4859" width="11.42578125" style="381"/>
    <col min="4860" max="4860" width="11.5703125" style="381" bestFit="1" customWidth="1"/>
    <col min="4861" max="4881" width="10.7109375" style="381" customWidth="1"/>
    <col min="4882" max="5115" width="11.42578125" style="381"/>
    <col min="5116" max="5116" width="11.5703125" style="381" bestFit="1" customWidth="1"/>
    <col min="5117" max="5137" width="10.7109375" style="381" customWidth="1"/>
    <col min="5138" max="5371" width="11.42578125" style="381"/>
    <col min="5372" max="5372" width="11.5703125" style="381" bestFit="1" customWidth="1"/>
    <col min="5373" max="5393" width="10.7109375" style="381" customWidth="1"/>
    <col min="5394" max="5627" width="11.42578125" style="381"/>
    <col min="5628" max="5628" width="11.5703125" style="381" bestFit="1" customWidth="1"/>
    <col min="5629" max="5649" width="10.7109375" style="381" customWidth="1"/>
    <col min="5650" max="5883" width="11.42578125" style="381"/>
    <col min="5884" max="5884" width="11.5703125" style="381" bestFit="1" customWidth="1"/>
    <col min="5885" max="5905" width="10.7109375" style="381" customWidth="1"/>
    <col min="5906" max="6139" width="11.42578125" style="381"/>
    <col min="6140" max="6140" width="11.5703125" style="381" bestFit="1" customWidth="1"/>
    <col min="6141" max="6161" width="10.7109375" style="381" customWidth="1"/>
    <col min="6162" max="6395" width="11.42578125" style="381"/>
    <col min="6396" max="6396" width="11.5703125" style="381" bestFit="1" customWidth="1"/>
    <col min="6397" max="6417" width="10.7109375" style="381" customWidth="1"/>
    <col min="6418" max="6651" width="11.42578125" style="381"/>
    <col min="6652" max="6652" width="11.5703125" style="381" bestFit="1" customWidth="1"/>
    <col min="6653" max="6673" width="10.7109375" style="381" customWidth="1"/>
    <col min="6674" max="6907" width="11.42578125" style="381"/>
    <col min="6908" max="6908" width="11.5703125" style="381" bestFit="1" customWidth="1"/>
    <col min="6909" max="6929" width="10.7109375" style="381" customWidth="1"/>
    <col min="6930" max="7163" width="11.42578125" style="381"/>
    <col min="7164" max="7164" width="11.5703125" style="381" bestFit="1" customWidth="1"/>
    <col min="7165" max="7185" width="10.7109375" style="381" customWidth="1"/>
    <col min="7186" max="7419" width="11.42578125" style="381"/>
    <col min="7420" max="7420" width="11.5703125" style="381" bestFit="1" customWidth="1"/>
    <col min="7421" max="7441" width="10.7109375" style="381" customWidth="1"/>
    <col min="7442" max="7675" width="11.42578125" style="381"/>
    <col min="7676" max="7676" width="11.5703125" style="381" bestFit="1" customWidth="1"/>
    <col min="7677" max="7697" width="10.7109375" style="381" customWidth="1"/>
    <col min="7698" max="7931" width="11.42578125" style="381"/>
    <col min="7932" max="7932" width="11.5703125" style="381" bestFit="1" customWidth="1"/>
    <col min="7933" max="7953" width="10.7109375" style="381" customWidth="1"/>
    <col min="7954" max="8187" width="11.42578125" style="381"/>
    <col min="8188" max="8188" width="11.5703125" style="381" bestFit="1" customWidth="1"/>
    <col min="8189" max="8209" width="10.7109375" style="381" customWidth="1"/>
    <col min="8210" max="8443" width="11.42578125" style="381"/>
    <col min="8444" max="8444" width="11.5703125" style="381" bestFit="1" customWidth="1"/>
    <col min="8445" max="8465" width="10.7109375" style="381" customWidth="1"/>
    <col min="8466" max="8699" width="11.42578125" style="381"/>
    <col min="8700" max="8700" width="11.5703125" style="381" bestFit="1" customWidth="1"/>
    <col min="8701" max="8721" width="10.7109375" style="381" customWidth="1"/>
    <col min="8722" max="8955" width="11.42578125" style="381"/>
    <col min="8956" max="8956" width="11.5703125" style="381" bestFit="1" customWidth="1"/>
    <col min="8957" max="8977" width="10.7109375" style="381" customWidth="1"/>
    <col min="8978" max="9211" width="11.42578125" style="381"/>
    <col min="9212" max="9212" width="11.5703125" style="381" bestFit="1" customWidth="1"/>
    <col min="9213" max="9233" width="10.7109375" style="381" customWidth="1"/>
    <col min="9234" max="9467" width="11.42578125" style="381"/>
    <col min="9468" max="9468" width="11.5703125" style="381" bestFit="1" customWidth="1"/>
    <col min="9469" max="9489" width="10.7109375" style="381" customWidth="1"/>
    <col min="9490" max="9723" width="11.42578125" style="381"/>
    <col min="9724" max="9724" width="11.5703125" style="381" bestFit="1" customWidth="1"/>
    <col min="9725" max="9745" width="10.7109375" style="381" customWidth="1"/>
    <col min="9746" max="9979" width="11.42578125" style="381"/>
    <col min="9980" max="9980" width="11.5703125" style="381" bestFit="1" customWidth="1"/>
    <col min="9981" max="10001" width="10.7109375" style="381" customWidth="1"/>
    <col min="10002" max="10235" width="11.42578125" style="381"/>
    <col min="10236" max="10236" width="11.5703125" style="381" bestFit="1" customWidth="1"/>
    <col min="10237" max="10257" width="10.7109375" style="381" customWidth="1"/>
    <col min="10258" max="10491" width="11.42578125" style="381"/>
    <col min="10492" max="10492" width="11.5703125" style="381" bestFit="1" customWidth="1"/>
    <col min="10493" max="10513" width="10.7109375" style="381" customWidth="1"/>
    <col min="10514" max="10747" width="11.42578125" style="381"/>
    <col min="10748" max="10748" width="11.5703125" style="381" bestFit="1" customWidth="1"/>
    <col min="10749" max="10769" width="10.7109375" style="381" customWidth="1"/>
    <col min="10770" max="11003" width="11.42578125" style="381"/>
    <col min="11004" max="11004" width="11.5703125" style="381" bestFit="1" customWidth="1"/>
    <col min="11005" max="11025" width="10.7109375" style="381" customWidth="1"/>
    <col min="11026" max="11259" width="11.42578125" style="381"/>
    <col min="11260" max="11260" width="11.5703125" style="381" bestFit="1" customWidth="1"/>
    <col min="11261" max="11281" width="10.7109375" style="381" customWidth="1"/>
    <col min="11282" max="11515" width="11.42578125" style="381"/>
    <col min="11516" max="11516" width="11.5703125" style="381" bestFit="1" customWidth="1"/>
    <col min="11517" max="11537" width="10.7109375" style="381" customWidth="1"/>
    <col min="11538" max="11771" width="11.42578125" style="381"/>
    <col min="11772" max="11772" width="11.5703125" style="381" bestFit="1" customWidth="1"/>
    <col min="11773" max="11793" width="10.7109375" style="381" customWidth="1"/>
    <col min="11794" max="12027" width="11.42578125" style="381"/>
    <col min="12028" max="12028" width="11.5703125" style="381" bestFit="1" customWidth="1"/>
    <col min="12029" max="12049" width="10.7109375" style="381" customWidth="1"/>
    <col min="12050" max="12283" width="11.42578125" style="381"/>
    <col min="12284" max="12284" width="11.5703125" style="381" bestFit="1" customWidth="1"/>
    <col min="12285" max="12305" width="10.7109375" style="381" customWidth="1"/>
    <col min="12306" max="12539" width="11.42578125" style="381"/>
    <col min="12540" max="12540" width="11.5703125" style="381" bestFit="1" customWidth="1"/>
    <col min="12541" max="12561" width="10.7109375" style="381" customWidth="1"/>
    <col min="12562" max="12795" width="11.42578125" style="381"/>
    <col min="12796" max="12796" width="11.5703125" style="381" bestFit="1" customWidth="1"/>
    <col min="12797" max="12817" width="10.7109375" style="381" customWidth="1"/>
    <col min="12818" max="13051" width="11.42578125" style="381"/>
    <col min="13052" max="13052" width="11.5703125" style="381" bestFit="1" customWidth="1"/>
    <col min="13053" max="13073" width="10.7109375" style="381" customWidth="1"/>
    <col min="13074" max="13307" width="11.42578125" style="381"/>
    <col min="13308" max="13308" width="11.5703125" style="381" bestFit="1" customWidth="1"/>
    <col min="13309" max="13329" width="10.7109375" style="381" customWidth="1"/>
    <col min="13330" max="13563" width="11.42578125" style="381"/>
    <col min="13564" max="13564" width="11.5703125" style="381" bestFit="1" customWidth="1"/>
    <col min="13565" max="13585" width="10.7109375" style="381" customWidth="1"/>
    <col min="13586" max="13819" width="11.42578125" style="381"/>
    <col min="13820" max="13820" width="11.5703125" style="381" bestFit="1" customWidth="1"/>
    <col min="13821" max="13841" width="10.7109375" style="381" customWidth="1"/>
    <col min="13842" max="14075" width="11.42578125" style="381"/>
    <col min="14076" max="14076" width="11.5703125" style="381" bestFit="1" customWidth="1"/>
    <col min="14077" max="14097" width="10.7109375" style="381" customWidth="1"/>
    <col min="14098" max="14331" width="11.42578125" style="381"/>
    <col min="14332" max="14332" width="11.5703125" style="381" bestFit="1" customWidth="1"/>
    <col min="14333" max="14353" width="10.7109375" style="381" customWidth="1"/>
    <col min="14354" max="14587" width="11.42578125" style="381"/>
    <col min="14588" max="14588" width="11.5703125" style="381" bestFit="1" customWidth="1"/>
    <col min="14589" max="14609" width="10.7109375" style="381" customWidth="1"/>
    <col min="14610" max="14843" width="11.42578125" style="381"/>
    <col min="14844" max="14844" width="11.5703125" style="381" bestFit="1" customWidth="1"/>
    <col min="14845" max="14865" width="10.7109375" style="381" customWidth="1"/>
    <col min="14866" max="15099" width="11.42578125" style="381"/>
    <col min="15100" max="15100" width="11.5703125" style="381" bestFit="1" customWidth="1"/>
    <col min="15101" max="15121" width="10.7109375" style="381" customWidth="1"/>
    <col min="15122" max="15355" width="11.42578125" style="381"/>
    <col min="15356" max="15356" width="11.5703125" style="381" bestFit="1" customWidth="1"/>
    <col min="15357" max="15377" width="10.7109375" style="381" customWidth="1"/>
    <col min="15378" max="15611" width="11.42578125" style="381"/>
    <col min="15612" max="15612" width="11.5703125" style="381" bestFit="1" customWidth="1"/>
    <col min="15613" max="15633" width="10.7109375" style="381" customWidth="1"/>
    <col min="15634" max="15867" width="11.42578125" style="381"/>
    <col min="15868" max="15868" width="11.5703125" style="381" bestFit="1" customWidth="1"/>
    <col min="15869" max="15889" width="10.7109375" style="381" customWidth="1"/>
    <col min="15890" max="16123" width="11.42578125" style="381"/>
    <col min="16124" max="16124" width="11.5703125" style="381" bestFit="1" customWidth="1"/>
    <col min="16125" max="16145" width="10.7109375" style="381" customWidth="1"/>
    <col min="16146" max="16384" width="11.42578125" style="381"/>
  </cols>
  <sheetData>
    <row r="1" spans="2:25" x14ac:dyDescent="0.2">
      <c r="W1" s="382"/>
    </row>
    <row r="2" spans="2:25" ht="15" customHeight="1" x14ac:dyDescent="0.25">
      <c r="B2" s="374" t="s">
        <v>612</v>
      </c>
      <c r="C2" s="381"/>
      <c r="D2" s="383"/>
      <c r="E2" s="383"/>
      <c r="F2" s="383"/>
      <c r="G2" s="383"/>
      <c r="H2" s="383"/>
      <c r="I2" s="383"/>
      <c r="J2" s="383"/>
      <c r="K2" s="383"/>
      <c r="L2" s="383"/>
      <c r="M2" s="383"/>
      <c r="N2" s="383"/>
      <c r="O2" s="383"/>
      <c r="P2" s="476"/>
      <c r="Q2" s="383"/>
      <c r="R2" s="383"/>
      <c r="S2" s="383"/>
      <c r="T2" s="383"/>
      <c r="U2" s="383"/>
      <c r="V2" s="383"/>
      <c r="W2" s="383"/>
      <c r="X2" s="383"/>
      <c r="Y2" s="383"/>
    </row>
    <row r="3" spans="2:25" ht="15" customHeight="1" x14ac:dyDescent="0.25">
      <c r="B3" s="384" t="s">
        <v>617</v>
      </c>
      <c r="C3" s="381"/>
      <c r="D3" s="383"/>
      <c r="E3" s="383"/>
      <c r="F3" s="383"/>
      <c r="G3" s="383"/>
      <c r="H3" s="383"/>
      <c r="I3" s="383"/>
      <c r="J3" s="383"/>
      <c r="K3" s="383"/>
      <c r="L3" s="383"/>
      <c r="M3" s="383"/>
      <c r="N3" s="383"/>
      <c r="O3" s="383"/>
      <c r="P3" s="383"/>
      <c r="Q3" s="383"/>
      <c r="R3" s="383"/>
      <c r="S3" s="383"/>
      <c r="T3" s="383"/>
      <c r="U3" s="383"/>
      <c r="V3" s="383"/>
      <c r="W3" s="383"/>
      <c r="X3" s="383"/>
      <c r="Y3" s="383"/>
    </row>
    <row r="4" spans="2:25" x14ac:dyDescent="0.2">
      <c r="C4" s="382">
        <v>1</v>
      </c>
      <c r="D4" s="382">
        <f>C4+1</f>
        <v>2</v>
      </c>
      <c r="E4" s="382">
        <f t="shared" ref="E4:X4" si="0">D4+1</f>
        <v>3</v>
      </c>
      <c r="F4" s="382">
        <f t="shared" si="0"/>
        <v>4</v>
      </c>
      <c r="G4" s="382">
        <f t="shared" si="0"/>
        <v>5</v>
      </c>
      <c r="H4" s="382">
        <f t="shared" si="0"/>
        <v>6</v>
      </c>
      <c r="I4" s="382">
        <f t="shared" si="0"/>
        <v>7</v>
      </c>
      <c r="J4" s="382">
        <f t="shared" si="0"/>
        <v>8</v>
      </c>
      <c r="K4" s="382">
        <f t="shared" si="0"/>
        <v>9</v>
      </c>
      <c r="L4" s="382">
        <f t="shared" si="0"/>
        <v>10</v>
      </c>
      <c r="M4" s="382">
        <f t="shared" si="0"/>
        <v>11</v>
      </c>
      <c r="N4" s="382">
        <f t="shared" si="0"/>
        <v>12</v>
      </c>
      <c r="O4" s="382">
        <f t="shared" si="0"/>
        <v>13</v>
      </c>
      <c r="P4" s="382">
        <f t="shared" si="0"/>
        <v>14</v>
      </c>
      <c r="Q4" s="382">
        <f t="shared" si="0"/>
        <v>15</v>
      </c>
      <c r="R4" s="382">
        <f t="shared" si="0"/>
        <v>16</v>
      </c>
      <c r="S4" s="382">
        <f t="shared" si="0"/>
        <v>17</v>
      </c>
      <c r="T4" s="382">
        <f t="shared" si="0"/>
        <v>18</v>
      </c>
      <c r="U4" s="382">
        <f t="shared" si="0"/>
        <v>19</v>
      </c>
      <c r="V4" s="382">
        <f t="shared" si="0"/>
        <v>20</v>
      </c>
      <c r="W4" s="382">
        <f t="shared" si="0"/>
        <v>21</v>
      </c>
      <c r="X4" s="382">
        <f t="shared" si="0"/>
        <v>22</v>
      </c>
    </row>
    <row r="5" spans="2:25" s="63" customFormat="1" ht="17.45" customHeight="1" x14ac:dyDescent="0.2">
      <c r="B5" s="610" t="s">
        <v>6</v>
      </c>
      <c r="C5" s="611" t="s">
        <v>587</v>
      </c>
      <c r="D5" s="613" t="s">
        <v>29</v>
      </c>
      <c r="E5" s="613"/>
      <c r="F5" s="613"/>
      <c r="G5" s="613"/>
      <c r="H5" s="613"/>
      <c r="I5" s="613"/>
      <c r="J5" s="614"/>
      <c r="K5" s="615" t="s">
        <v>30</v>
      </c>
      <c r="L5" s="615"/>
      <c r="M5" s="615"/>
      <c r="N5" s="615"/>
      <c r="O5" s="615"/>
      <c r="P5" s="615"/>
      <c r="Q5" s="616"/>
      <c r="R5" s="615" t="s">
        <v>5</v>
      </c>
      <c r="S5" s="615"/>
      <c r="T5" s="615"/>
      <c r="U5" s="615"/>
      <c r="V5" s="615"/>
      <c r="W5" s="615"/>
      <c r="X5" s="616"/>
      <c r="Y5" s="324"/>
    </row>
    <row r="6" spans="2:25" s="392" customFormat="1" ht="63" customHeight="1" x14ac:dyDescent="0.25">
      <c r="B6" s="610"/>
      <c r="C6" s="612"/>
      <c r="D6" s="385" t="s">
        <v>613</v>
      </c>
      <c r="E6" s="385" t="s">
        <v>591</v>
      </c>
      <c r="F6" s="385" t="s">
        <v>614</v>
      </c>
      <c r="G6" s="385" t="s">
        <v>615</v>
      </c>
      <c r="H6" s="385" t="s">
        <v>594</v>
      </c>
      <c r="I6" s="385" t="s">
        <v>616</v>
      </c>
      <c r="J6" s="385" t="s">
        <v>596</v>
      </c>
      <c r="K6" s="385" t="s">
        <v>613</v>
      </c>
      <c r="L6" s="385" t="s">
        <v>591</v>
      </c>
      <c r="M6" s="385" t="s">
        <v>614</v>
      </c>
      <c r="N6" s="385" t="s">
        <v>615</v>
      </c>
      <c r="O6" s="385" t="s">
        <v>594</v>
      </c>
      <c r="P6" s="385" t="s">
        <v>616</v>
      </c>
      <c r="Q6" s="385" t="s">
        <v>597</v>
      </c>
      <c r="R6" s="385" t="s">
        <v>613</v>
      </c>
      <c r="S6" s="385" t="s">
        <v>591</v>
      </c>
      <c r="T6" s="385" t="s">
        <v>614</v>
      </c>
      <c r="U6" s="385" t="s">
        <v>615</v>
      </c>
      <c r="V6" s="385" t="s">
        <v>594</v>
      </c>
      <c r="W6" s="385" t="s">
        <v>616</v>
      </c>
      <c r="X6" s="386" t="s">
        <v>5</v>
      </c>
    </row>
    <row r="7" spans="2:25" s="63" customFormat="1" ht="12.75" x14ac:dyDescent="0.2">
      <c r="B7" s="325">
        <f>+YEAR(C7)</f>
        <v>2008</v>
      </c>
      <c r="C7" s="394">
        <v>39630</v>
      </c>
      <c r="D7" s="395">
        <v>189150</v>
      </c>
      <c r="E7" s="395">
        <v>108433</v>
      </c>
      <c r="F7" s="395"/>
      <c r="G7" s="395">
        <v>0</v>
      </c>
      <c r="H7" s="395">
        <v>0</v>
      </c>
      <c r="I7" s="395">
        <v>0</v>
      </c>
      <c r="J7" s="395">
        <v>297583</v>
      </c>
      <c r="K7" s="395">
        <v>101420</v>
      </c>
      <c r="L7" s="395">
        <v>84278</v>
      </c>
      <c r="M7" s="395"/>
      <c r="N7" s="395">
        <v>0</v>
      </c>
      <c r="O7" s="395">
        <v>0</v>
      </c>
      <c r="P7" s="395">
        <v>0</v>
      </c>
      <c r="Q7" s="395">
        <v>185698</v>
      </c>
      <c r="R7" s="395">
        <v>290570</v>
      </c>
      <c r="S7" s="395">
        <v>192711</v>
      </c>
      <c r="T7" s="395"/>
      <c r="U7" s="395">
        <v>0</v>
      </c>
      <c r="V7" s="395">
        <v>0</v>
      </c>
      <c r="W7" s="396">
        <v>0</v>
      </c>
      <c r="X7" s="395">
        <v>483281</v>
      </c>
      <c r="Y7" s="397"/>
    </row>
    <row r="8" spans="2:25" s="63" customFormat="1" ht="12.75" x14ac:dyDescent="0.2">
      <c r="B8" s="325">
        <f t="shared" ref="B8:B71" si="1">+YEAR(C8)</f>
        <v>2008</v>
      </c>
      <c r="C8" s="394">
        <v>39661</v>
      </c>
      <c r="D8" s="395">
        <v>190466</v>
      </c>
      <c r="E8" s="395">
        <v>109472</v>
      </c>
      <c r="F8" s="395"/>
      <c r="G8" s="395">
        <v>0</v>
      </c>
      <c r="H8" s="395">
        <v>0</v>
      </c>
      <c r="I8" s="395">
        <v>0</v>
      </c>
      <c r="J8" s="395">
        <v>299938</v>
      </c>
      <c r="K8" s="395">
        <v>101671</v>
      </c>
      <c r="L8" s="395">
        <v>84832</v>
      </c>
      <c r="M8" s="395"/>
      <c r="N8" s="395">
        <v>0</v>
      </c>
      <c r="O8" s="395">
        <v>0</v>
      </c>
      <c r="P8" s="395">
        <v>0</v>
      </c>
      <c r="Q8" s="395">
        <v>186503</v>
      </c>
      <c r="R8" s="395">
        <v>292137</v>
      </c>
      <c r="S8" s="395">
        <v>194304</v>
      </c>
      <c r="T8" s="395"/>
      <c r="U8" s="395">
        <v>0</v>
      </c>
      <c r="V8" s="395">
        <v>0</v>
      </c>
      <c r="W8" s="396">
        <v>0</v>
      </c>
      <c r="X8" s="395">
        <v>486441</v>
      </c>
      <c r="Y8" s="397"/>
    </row>
    <row r="9" spans="2:25" s="63" customFormat="1" ht="12.75" x14ac:dyDescent="0.2">
      <c r="B9" s="325">
        <f t="shared" si="1"/>
        <v>2008</v>
      </c>
      <c r="C9" s="394">
        <v>39692</v>
      </c>
      <c r="D9" s="395">
        <v>221382</v>
      </c>
      <c r="E9" s="395">
        <v>108958</v>
      </c>
      <c r="F9" s="395"/>
      <c r="G9" s="395">
        <v>0</v>
      </c>
      <c r="H9" s="395">
        <v>0</v>
      </c>
      <c r="I9" s="395">
        <v>0</v>
      </c>
      <c r="J9" s="395">
        <v>330340</v>
      </c>
      <c r="K9" s="395">
        <v>108164</v>
      </c>
      <c r="L9" s="395">
        <v>84560</v>
      </c>
      <c r="M9" s="395"/>
      <c r="N9" s="395">
        <v>0</v>
      </c>
      <c r="O9" s="395">
        <v>0</v>
      </c>
      <c r="P9" s="395">
        <v>0</v>
      </c>
      <c r="Q9" s="395">
        <v>192724</v>
      </c>
      <c r="R9" s="395">
        <v>329546</v>
      </c>
      <c r="S9" s="395">
        <v>193518</v>
      </c>
      <c r="T9" s="395"/>
      <c r="U9" s="395">
        <v>0</v>
      </c>
      <c r="V9" s="395">
        <v>0</v>
      </c>
      <c r="W9" s="396">
        <v>0</v>
      </c>
      <c r="X9" s="395">
        <v>523064</v>
      </c>
      <c r="Y9" s="397"/>
    </row>
    <row r="10" spans="2:25" s="63" customFormat="1" ht="12.75" x14ac:dyDescent="0.2">
      <c r="B10" s="325">
        <f t="shared" si="1"/>
        <v>2008</v>
      </c>
      <c r="C10" s="394">
        <v>39722</v>
      </c>
      <c r="D10" s="395">
        <v>230808</v>
      </c>
      <c r="E10" s="395">
        <v>108604</v>
      </c>
      <c r="F10" s="395"/>
      <c r="G10" s="395">
        <v>2444</v>
      </c>
      <c r="H10" s="395">
        <v>217</v>
      </c>
      <c r="I10" s="395">
        <v>0</v>
      </c>
      <c r="J10" s="395">
        <v>342073</v>
      </c>
      <c r="K10" s="395">
        <v>110075</v>
      </c>
      <c r="L10" s="395">
        <v>84437</v>
      </c>
      <c r="M10" s="395"/>
      <c r="N10" s="395">
        <v>955</v>
      </c>
      <c r="O10" s="395">
        <v>229</v>
      </c>
      <c r="P10" s="395">
        <v>0</v>
      </c>
      <c r="Q10" s="395">
        <v>195696</v>
      </c>
      <c r="R10" s="395">
        <v>340883</v>
      </c>
      <c r="S10" s="395">
        <v>193041</v>
      </c>
      <c r="T10" s="395"/>
      <c r="U10" s="395">
        <v>3399</v>
      </c>
      <c r="V10" s="395">
        <v>446</v>
      </c>
      <c r="W10" s="396">
        <v>0</v>
      </c>
      <c r="X10" s="395">
        <v>537769</v>
      </c>
      <c r="Y10" s="397"/>
    </row>
    <row r="11" spans="2:25" s="63" customFormat="1" ht="12.75" x14ac:dyDescent="0.2">
      <c r="B11" s="325">
        <f t="shared" si="1"/>
        <v>2008</v>
      </c>
      <c r="C11" s="394">
        <v>39753</v>
      </c>
      <c r="D11" s="395">
        <v>236178</v>
      </c>
      <c r="E11" s="395">
        <v>108404</v>
      </c>
      <c r="F11" s="395"/>
      <c r="G11" s="395">
        <v>3067</v>
      </c>
      <c r="H11" s="395">
        <v>290</v>
      </c>
      <c r="I11" s="395">
        <v>0</v>
      </c>
      <c r="J11" s="395">
        <v>347939</v>
      </c>
      <c r="K11" s="395">
        <v>111136</v>
      </c>
      <c r="L11" s="395">
        <v>84286</v>
      </c>
      <c r="M11" s="395"/>
      <c r="N11" s="395">
        <v>1159</v>
      </c>
      <c r="O11" s="395">
        <v>294</v>
      </c>
      <c r="P11" s="395">
        <v>0</v>
      </c>
      <c r="Q11" s="395">
        <v>196875</v>
      </c>
      <c r="R11" s="395">
        <v>347314</v>
      </c>
      <c r="S11" s="395">
        <v>192690</v>
      </c>
      <c r="T11" s="395"/>
      <c r="U11" s="395">
        <v>4226</v>
      </c>
      <c r="V11" s="395">
        <v>584</v>
      </c>
      <c r="W11" s="396">
        <v>0</v>
      </c>
      <c r="X11" s="395">
        <v>544814</v>
      </c>
      <c r="Y11" s="397"/>
    </row>
    <row r="12" spans="2:25" s="63" customFormat="1" ht="12.75" x14ac:dyDescent="0.2">
      <c r="B12" s="325">
        <f t="shared" si="1"/>
        <v>2008</v>
      </c>
      <c r="C12" s="394">
        <v>39783</v>
      </c>
      <c r="D12" s="395">
        <v>244815</v>
      </c>
      <c r="E12" s="395">
        <v>109628</v>
      </c>
      <c r="F12" s="395"/>
      <c r="G12" s="395">
        <v>3251</v>
      </c>
      <c r="H12" s="395">
        <v>352</v>
      </c>
      <c r="I12" s="395">
        <v>0</v>
      </c>
      <c r="J12" s="395">
        <v>358046</v>
      </c>
      <c r="K12" s="395">
        <v>113630</v>
      </c>
      <c r="L12" s="395">
        <v>84823</v>
      </c>
      <c r="M12" s="395"/>
      <c r="N12" s="395">
        <v>1234</v>
      </c>
      <c r="O12" s="395">
        <v>348</v>
      </c>
      <c r="P12" s="395">
        <v>0</v>
      </c>
      <c r="Q12" s="395">
        <v>200035</v>
      </c>
      <c r="R12" s="395">
        <v>358445</v>
      </c>
      <c r="S12" s="395">
        <v>194451</v>
      </c>
      <c r="T12" s="395"/>
      <c r="U12" s="395">
        <v>4485</v>
      </c>
      <c r="V12" s="395">
        <v>700</v>
      </c>
      <c r="W12" s="396">
        <v>0</v>
      </c>
      <c r="X12" s="395">
        <v>558081</v>
      </c>
      <c r="Y12" s="397"/>
    </row>
    <row r="13" spans="2:25" s="63" customFormat="1" ht="12.75" x14ac:dyDescent="0.2">
      <c r="B13" s="325">
        <f t="shared" si="1"/>
        <v>2009</v>
      </c>
      <c r="C13" s="394">
        <v>39814</v>
      </c>
      <c r="D13" s="395">
        <v>249383</v>
      </c>
      <c r="E13" s="395">
        <v>110901</v>
      </c>
      <c r="F13" s="395"/>
      <c r="G13" s="395">
        <v>4434</v>
      </c>
      <c r="H13" s="395">
        <v>468</v>
      </c>
      <c r="I13" s="395">
        <v>0</v>
      </c>
      <c r="J13" s="395">
        <v>365186</v>
      </c>
      <c r="K13" s="395">
        <v>114748</v>
      </c>
      <c r="L13" s="395">
        <v>85291</v>
      </c>
      <c r="M13" s="395"/>
      <c r="N13" s="395">
        <v>1765</v>
      </c>
      <c r="O13" s="395">
        <v>481</v>
      </c>
      <c r="P13" s="395">
        <v>0</v>
      </c>
      <c r="Q13" s="395">
        <v>202285</v>
      </c>
      <c r="R13" s="395">
        <v>364131</v>
      </c>
      <c r="S13" s="395">
        <v>196192</v>
      </c>
      <c r="T13" s="395"/>
      <c r="U13" s="395">
        <v>6199</v>
      </c>
      <c r="V13" s="395">
        <v>949</v>
      </c>
      <c r="W13" s="396">
        <v>0</v>
      </c>
      <c r="X13" s="395">
        <v>567471</v>
      </c>
      <c r="Y13" s="397"/>
    </row>
    <row r="14" spans="2:25" s="63" customFormat="1" ht="12.75" x14ac:dyDescent="0.2">
      <c r="B14" s="325">
        <f t="shared" si="1"/>
        <v>2009</v>
      </c>
      <c r="C14" s="394">
        <v>39845</v>
      </c>
      <c r="D14" s="395">
        <v>251808</v>
      </c>
      <c r="E14" s="395">
        <v>111775</v>
      </c>
      <c r="F14" s="395"/>
      <c r="G14" s="395">
        <v>5048</v>
      </c>
      <c r="H14" s="395">
        <v>596</v>
      </c>
      <c r="I14" s="395">
        <v>0</v>
      </c>
      <c r="J14" s="395">
        <v>369227</v>
      </c>
      <c r="K14" s="395">
        <v>115183</v>
      </c>
      <c r="L14" s="395">
        <v>85481</v>
      </c>
      <c r="M14" s="395"/>
      <c r="N14" s="395">
        <v>2132</v>
      </c>
      <c r="O14" s="395">
        <v>584</v>
      </c>
      <c r="P14" s="395">
        <v>0</v>
      </c>
      <c r="Q14" s="395">
        <v>203380</v>
      </c>
      <c r="R14" s="395">
        <v>366991</v>
      </c>
      <c r="S14" s="395">
        <v>197256</v>
      </c>
      <c r="T14" s="395"/>
      <c r="U14" s="395">
        <v>7180</v>
      </c>
      <c r="V14" s="395">
        <v>1180</v>
      </c>
      <c r="W14" s="396">
        <v>0</v>
      </c>
      <c r="X14" s="395">
        <v>572607</v>
      </c>
      <c r="Y14" s="397"/>
    </row>
    <row r="15" spans="2:25" s="63" customFormat="1" ht="12.75" x14ac:dyDescent="0.2">
      <c r="B15" s="325">
        <f t="shared" si="1"/>
        <v>2009</v>
      </c>
      <c r="C15" s="394">
        <v>39873</v>
      </c>
      <c r="D15" s="395">
        <v>254074</v>
      </c>
      <c r="E15" s="395">
        <v>112459</v>
      </c>
      <c r="F15" s="395"/>
      <c r="G15" s="395">
        <v>5703</v>
      </c>
      <c r="H15" s="395">
        <v>787</v>
      </c>
      <c r="I15" s="395">
        <v>0</v>
      </c>
      <c r="J15" s="395">
        <v>373023</v>
      </c>
      <c r="K15" s="395">
        <v>115759</v>
      </c>
      <c r="L15" s="395">
        <v>85609</v>
      </c>
      <c r="M15" s="395"/>
      <c r="N15" s="395">
        <v>2584</v>
      </c>
      <c r="O15" s="395">
        <v>703</v>
      </c>
      <c r="P15" s="395">
        <v>0</v>
      </c>
      <c r="Q15" s="395">
        <v>204655</v>
      </c>
      <c r="R15" s="395">
        <v>369833</v>
      </c>
      <c r="S15" s="395">
        <v>198068</v>
      </c>
      <c r="T15" s="395"/>
      <c r="U15" s="395">
        <v>8287</v>
      </c>
      <c r="V15" s="395">
        <v>1490</v>
      </c>
      <c r="W15" s="396">
        <v>0</v>
      </c>
      <c r="X15" s="395">
        <v>577678</v>
      </c>
      <c r="Y15" s="397"/>
    </row>
    <row r="16" spans="2:25" s="63" customFormat="1" ht="12.75" x14ac:dyDescent="0.2">
      <c r="B16" s="325">
        <f t="shared" si="1"/>
        <v>2009</v>
      </c>
      <c r="C16" s="394">
        <v>39904</v>
      </c>
      <c r="D16" s="395">
        <v>255795</v>
      </c>
      <c r="E16" s="395">
        <v>113104</v>
      </c>
      <c r="F16" s="395"/>
      <c r="G16" s="395">
        <v>6499</v>
      </c>
      <c r="H16" s="395">
        <v>1119</v>
      </c>
      <c r="I16" s="395">
        <v>0</v>
      </c>
      <c r="J16" s="395">
        <v>376517</v>
      </c>
      <c r="K16" s="395">
        <v>116177</v>
      </c>
      <c r="L16" s="395">
        <v>85787</v>
      </c>
      <c r="M16" s="395"/>
      <c r="N16" s="395">
        <v>3131</v>
      </c>
      <c r="O16" s="395">
        <v>922</v>
      </c>
      <c r="P16" s="395">
        <v>0</v>
      </c>
      <c r="Q16" s="395">
        <v>206017</v>
      </c>
      <c r="R16" s="395">
        <v>371972</v>
      </c>
      <c r="S16" s="395">
        <v>198891</v>
      </c>
      <c r="T16" s="395"/>
      <c r="U16" s="395">
        <v>9630</v>
      </c>
      <c r="V16" s="395">
        <v>2041</v>
      </c>
      <c r="W16" s="396">
        <v>0</v>
      </c>
      <c r="X16" s="395">
        <v>582534</v>
      </c>
      <c r="Y16" s="397"/>
    </row>
    <row r="17" spans="2:25" s="63" customFormat="1" ht="12.75" x14ac:dyDescent="0.2">
      <c r="B17" s="325">
        <f t="shared" si="1"/>
        <v>2009</v>
      </c>
      <c r="C17" s="394">
        <v>39934</v>
      </c>
      <c r="D17" s="395">
        <v>258094</v>
      </c>
      <c r="E17" s="395">
        <v>114003</v>
      </c>
      <c r="F17" s="395"/>
      <c r="G17" s="395">
        <v>7208</v>
      </c>
      <c r="H17" s="395">
        <v>1372</v>
      </c>
      <c r="I17" s="395">
        <v>0</v>
      </c>
      <c r="J17" s="395">
        <v>380677</v>
      </c>
      <c r="K17" s="395">
        <v>116638</v>
      </c>
      <c r="L17" s="395">
        <v>86085</v>
      </c>
      <c r="M17" s="395"/>
      <c r="N17" s="395">
        <v>3842</v>
      </c>
      <c r="O17" s="395">
        <v>1125</v>
      </c>
      <c r="P17" s="395">
        <v>0</v>
      </c>
      <c r="Q17" s="395">
        <v>207690</v>
      </c>
      <c r="R17" s="395">
        <v>374732</v>
      </c>
      <c r="S17" s="395">
        <v>200088</v>
      </c>
      <c r="T17" s="395"/>
      <c r="U17" s="395">
        <v>11050</v>
      </c>
      <c r="V17" s="395">
        <v>2497</v>
      </c>
      <c r="W17" s="396">
        <v>0</v>
      </c>
      <c r="X17" s="395">
        <v>588367</v>
      </c>
      <c r="Y17" s="397"/>
    </row>
    <row r="18" spans="2:25" s="63" customFormat="1" ht="12.75" x14ac:dyDescent="0.2">
      <c r="B18" s="325">
        <f t="shared" si="1"/>
        <v>2009</v>
      </c>
      <c r="C18" s="394">
        <v>39965</v>
      </c>
      <c r="D18" s="395">
        <v>260086</v>
      </c>
      <c r="E18" s="395">
        <v>114983</v>
      </c>
      <c r="F18" s="395"/>
      <c r="G18" s="395">
        <v>7817</v>
      </c>
      <c r="H18" s="395">
        <v>1674</v>
      </c>
      <c r="I18" s="395">
        <v>0</v>
      </c>
      <c r="J18" s="395">
        <v>384560</v>
      </c>
      <c r="K18" s="395">
        <v>116982</v>
      </c>
      <c r="L18" s="395">
        <v>86441</v>
      </c>
      <c r="M18" s="395"/>
      <c r="N18" s="395">
        <v>4373</v>
      </c>
      <c r="O18" s="395">
        <v>1346</v>
      </c>
      <c r="P18" s="395">
        <v>0</v>
      </c>
      <c r="Q18" s="395">
        <v>209142</v>
      </c>
      <c r="R18" s="395">
        <v>377068</v>
      </c>
      <c r="S18" s="395">
        <v>201424</v>
      </c>
      <c r="T18" s="395"/>
      <c r="U18" s="395">
        <v>12190</v>
      </c>
      <c r="V18" s="395">
        <v>3020</v>
      </c>
      <c r="W18" s="396">
        <v>0</v>
      </c>
      <c r="X18" s="395">
        <v>593702</v>
      </c>
      <c r="Y18" s="397"/>
    </row>
    <row r="19" spans="2:25" s="63" customFormat="1" ht="12.75" x14ac:dyDescent="0.2">
      <c r="B19" s="325">
        <f t="shared" si="1"/>
        <v>2009</v>
      </c>
      <c r="C19" s="394">
        <v>39995</v>
      </c>
      <c r="D19" s="395">
        <v>261334</v>
      </c>
      <c r="E19" s="395">
        <v>116028</v>
      </c>
      <c r="F19" s="395"/>
      <c r="G19" s="395">
        <v>8395</v>
      </c>
      <c r="H19" s="395">
        <v>2118</v>
      </c>
      <c r="I19" s="395">
        <v>0</v>
      </c>
      <c r="J19" s="395">
        <v>387875</v>
      </c>
      <c r="K19" s="395">
        <v>117124</v>
      </c>
      <c r="L19" s="395">
        <v>86710</v>
      </c>
      <c r="M19" s="395"/>
      <c r="N19" s="395">
        <v>4882</v>
      </c>
      <c r="O19" s="395">
        <v>1670</v>
      </c>
      <c r="P19" s="395">
        <v>0</v>
      </c>
      <c r="Q19" s="395">
        <v>210386</v>
      </c>
      <c r="R19" s="395">
        <v>378458</v>
      </c>
      <c r="S19" s="395">
        <v>202738</v>
      </c>
      <c r="T19" s="395"/>
      <c r="U19" s="395">
        <v>13277</v>
      </c>
      <c r="V19" s="395">
        <v>3788</v>
      </c>
      <c r="W19" s="396">
        <v>0</v>
      </c>
      <c r="X19" s="395">
        <v>598261</v>
      </c>
      <c r="Y19" s="397"/>
    </row>
    <row r="20" spans="2:25" s="63" customFormat="1" ht="12.75" x14ac:dyDescent="0.2">
      <c r="B20" s="325">
        <f t="shared" si="1"/>
        <v>2009</v>
      </c>
      <c r="C20" s="394">
        <v>40026</v>
      </c>
      <c r="D20" s="395">
        <v>261917</v>
      </c>
      <c r="E20" s="395">
        <v>117514</v>
      </c>
      <c r="F20" s="395"/>
      <c r="G20" s="395">
        <v>9052</v>
      </c>
      <c r="H20" s="395">
        <v>2469</v>
      </c>
      <c r="I20" s="395">
        <v>0</v>
      </c>
      <c r="J20" s="395">
        <v>390952</v>
      </c>
      <c r="K20" s="395">
        <v>117348</v>
      </c>
      <c r="L20" s="395">
        <v>87229</v>
      </c>
      <c r="M20" s="395"/>
      <c r="N20" s="395">
        <v>5603</v>
      </c>
      <c r="O20" s="395">
        <v>1969</v>
      </c>
      <c r="P20" s="395">
        <v>0</v>
      </c>
      <c r="Q20" s="395">
        <v>212149</v>
      </c>
      <c r="R20" s="395">
        <v>379265</v>
      </c>
      <c r="S20" s="395">
        <v>204743</v>
      </c>
      <c r="T20" s="395"/>
      <c r="U20" s="395">
        <v>14655</v>
      </c>
      <c r="V20" s="395">
        <v>4438</v>
      </c>
      <c r="W20" s="396">
        <v>0</v>
      </c>
      <c r="X20" s="395">
        <v>603101</v>
      </c>
      <c r="Y20" s="397"/>
    </row>
    <row r="21" spans="2:25" s="63" customFormat="1" ht="12.75" x14ac:dyDescent="0.2">
      <c r="B21" s="325">
        <f t="shared" si="1"/>
        <v>2009</v>
      </c>
      <c r="C21" s="394">
        <v>40057</v>
      </c>
      <c r="D21" s="395">
        <v>267244</v>
      </c>
      <c r="E21" s="395">
        <v>118761</v>
      </c>
      <c r="F21" s="395"/>
      <c r="G21" s="395">
        <v>12193</v>
      </c>
      <c r="H21" s="395">
        <v>2777</v>
      </c>
      <c r="I21" s="395">
        <v>0</v>
      </c>
      <c r="J21" s="395">
        <v>400975</v>
      </c>
      <c r="K21" s="395">
        <v>117430</v>
      </c>
      <c r="L21" s="395">
        <v>87678</v>
      </c>
      <c r="M21" s="395"/>
      <c r="N21" s="395">
        <v>15010</v>
      </c>
      <c r="O21" s="395">
        <v>2203</v>
      </c>
      <c r="P21" s="395">
        <v>0</v>
      </c>
      <c r="Q21" s="395">
        <v>222321</v>
      </c>
      <c r="R21" s="395">
        <v>384674</v>
      </c>
      <c r="S21" s="395">
        <v>206439</v>
      </c>
      <c r="T21" s="395"/>
      <c r="U21" s="395">
        <v>27203</v>
      </c>
      <c r="V21" s="395">
        <v>4980</v>
      </c>
      <c r="W21" s="396">
        <v>0</v>
      </c>
      <c r="X21" s="395">
        <v>623296</v>
      </c>
      <c r="Y21" s="397"/>
    </row>
    <row r="22" spans="2:25" s="63" customFormat="1" ht="12.75" x14ac:dyDescent="0.2">
      <c r="B22" s="325">
        <f t="shared" si="1"/>
        <v>2009</v>
      </c>
      <c r="C22" s="394">
        <v>40087</v>
      </c>
      <c r="D22" s="395">
        <v>273548</v>
      </c>
      <c r="E22" s="395">
        <v>120250</v>
      </c>
      <c r="F22" s="395"/>
      <c r="G22" s="395">
        <v>98877</v>
      </c>
      <c r="H22" s="395">
        <v>3876</v>
      </c>
      <c r="I22" s="395">
        <v>0</v>
      </c>
      <c r="J22" s="395">
        <v>496551</v>
      </c>
      <c r="K22" s="395">
        <v>118419</v>
      </c>
      <c r="L22" s="395">
        <v>88090</v>
      </c>
      <c r="M22" s="395"/>
      <c r="N22" s="395">
        <v>70157</v>
      </c>
      <c r="O22" s="395">
        <v>3042</v>
      </c>
      <c r="P22" s="395">
        <v>0</v>
      </c>
      <c r="Q22" s="395">
        <v>279708</v>
      </c>
      <c r="R22" s="395">
        <v>391967</v>
      </c>
      <c r="S22" s="395">
        <v>208340</v>
      </c>
      <c r="T22" s="395"/>
      <c r="U22" s="395">
        <v>169034</v>
      </c>
      <c r="V22" s="395">
        <v>6918</v>
      </c>
      <c r="W22" s="396">
        <v>0</v>
      </c>
      <c r="X22" s="395">
        <v>776259</v>
      </c>
      <c r="Y22" s="397"/>
    </row>
    <row r="23" spans="2:25" s="63" customFormat="1" ht="12.75" x14ac:dyDescent="0.2">
      <c r="B23" s="325">
        <f t="shared" si="1"/>
        <v>2009</v>
      </c>
      <c r="C23" s="394">
        <v>40118</v>
      </c>
      <c r="D23" s="395">
        <v>275060</v>
      </c>
      <c r="E23" s="395">
        <v>121468</v>
      </c>
      <c r="F23" s="395"/>
      <c r="G23" s="395">
        <v>118191</v>
      </c>
      <c r="H23" s="395">
        <v>4342</v>
      </c>
      <c r="I23" s="395">
        <v>0</v>
      </c>
      <c r="J23" s="395">
        <v>519061</v>
      </c>
      <c r="K23" s="395">
        <v>118547</v>
      </c>
      <c r="L23" s="395">
        <v>88421</v>
      </c>
      <c r="M23" s="395"/>
      <c r="N23" s="395">
        <v>85364</v>
      </c>
      <c r="O23" s="395">
        <v>3394</v>
      </c>
      <c r="P23" s="395">
        <v>0</v>
      </c>
      <c r="Q23" s="395">
        <v>295726</v>
      </c>
      <c r="R23" s="395">
        <v>393607</v>
      </c>
      <c r="S23" s="395">
        <v>209889</v>
      </c>
      <c r="T23" s="395"/>
      <c r="U23" s="395">
        <v>203555</v>
      </c>
      <c r="V23" s="395">
        <v>7736</v>
      </c>
      <c r="W23" s="396">
        <v>0</v>
      </c>
      <c r="X23" s="395">
        <v>814787</v>
      </c>
      <c r="Y23" s="397"/>
    </row>
    <row r="24" spans="2:25" s="63" customFormat="1" ht="12.75" x14ac:dyDescent="0.2">
      <c r="B24" s="325">
        <f t="shared" si="1"/>
        <v>2009</v>
      </c>
      <c r="C24" s="394">
        <v>40148</v>
      </c>
      <c r="D24" s="395">
        <v>278864</v>
      </c>
      <c r="E24" s="395">
        <v>123215</v>
      </c>
      <c r="F24" s="395"/>
      <c r="G24" s="395">
        <v>137544</v>
      </c>
      <c r="H24" s="395">
        <v>4968</v>
      </c>
      <c r="I24" s="395">
        <v>0</v>
      </c>
      <c r="J24" s="395">
        <v>544591</v>
      </c>
      <c r="K24" s="395">
        <v>119964</v>
      </c>
      <c r="L24" s="395">
        <v>88990</v>
      </c>
      <c r="M24" s="395"/>
      <c r="N24" s="395">
        <v>100434</v>
      </c>
      <c r="O24" s="395">
        <v>3798</v>
      </c>
      <c r="P24" s="395">
        <v>0</v>
      </c>
      <c r="Q24" s="395">
        <v>313186</v>
      </c>
      <c r="R24" s="395">
        <v>398828</v>
      </c>
      <c r="S24" s="395">
        <v>212205</v>
      </c>
      <c r="T24" s="395"/>
      <c r="U24" s="395">
        <v>237978</v>
      </c>
      <c r="V24" s="395">
        <v>8766</v>
      </c>
      <c r="W24" s="396">
        <v>0</v>
      </c>
      <c r="X24" s="395">
        <v>857777</v>
      </c>
      <c r="Y24" s="397"/>
    </row>
    <row r="25" spans="2:25" s="63" customFormat="1" ht="12.75" x14ac:dyDescent="0.2">
      <c r="B25" s="325">
        <f t="shared" si="1"/>
        <v>2010</v>
      </c>
      <c r="C25" s="394">
        <v>40179</v>
      </c>
      <c r="D25" s="395">
        <v>281175</v>
      </c>
      <c r="E25" s="395">
        <v>124307</v>
      </c>
      <c r="F25" s="395"/>
      <c r="G25" s="395">
        <v>147468</v>
      </c>
      <c r="H25" s="395">
        <v>5495</v>
      </c>
      <c r="I25" s="395">
        <v>0</v>
      </c>
      <c r="J25" s="395">
        <v>558445</v>
      </c>
      <c r="K25" s="395">
        <v>120328</v>
      </c>
      <c r="L25" s="395">
        <v>89382</v>
      </c>
      <c r="M25" s="395"/>
      <c r="N25" s="395">
        <v>103465</v>
      </c>
      <c r="O25" s="395">
        <v>4172</v>
      </c>
      <c r="P25" s="395">
        <v>0</v>
      </c>
      <c r="Q25" s="395">
        <v>317347</v>
      </c>
      <c r="R25" s="395">
        <v>401503</v>
      </c>
      <c r="S25" s="395">
        <v>213689</v>
      </c>
      <c r="T25" s="395"/>
      <c r="U25" s="395">
        <v>250933</v>
      </c>
      <c r="V25" s="395">
        <v>9667</v>
      </c>
      <c r="W25" s="396">
        <v>0</v>
      </c>
      <c r="X25" s="395">
        <v>875792</v>
      </c>
      <c r="Y25" s="397"/>
    </row>
    <row r="26" spans="2:25" s="63" customFormat="1" ht="12.75" x14ac:dyDescent="0.2">
      <c r="B26" s="325">
        <f t="shared" si="1"/>
        <v>2010</v>
      </c>
      <c r="C26" s="394">
        <v>40210</v>
      </c>
      <c r="D26" s="395">
        <v>280040</v>
      </c>
      <c r="E26" s="395">
        <v>123693</v>
      </c>
      <c r="F26" s="395"/>
      <c r="G26" s="395">
        <v>157189</v>
      </c>
      <c r="H26" s="395">
        <v>5997</v>
      </c>
      <c r="I26" s="395">
        <v>0</v>
      </c>
      <c r="J26" s="395">
        <v>566919</v>
      </c>
      <c r="K26" s="395">
        <v>119616</v>
      </c>
      <c r="L26" s="395">
        <v>89028</v>
      </c>
      <c r="M26" s="395"/>
      <c r="N26" s="395">
        <v>108163</v>
      </c>
      <c r="O26" s="395">
        <v>4576</v>
      </c>
      <c r="P26" s="395">
        <v>0</v>
      </c>
      <c r="Q26" s="395">
        <v>321383</v>
      </c>
      <c r="R26" s="395">
        <v>399656</v>
      </c>
      <c r="S26" s="395">
        <v>212721</v>
      </c>
      <c r="T26" s="395"/>
      <c r="U26" s="395">
        <v>265352</v>
      </c>
      <c r="V26" s="395">
        <v>10573</v>
      </c>
      <c r="W26" s="396">
        <v>0</v>
      </c>
      <c r="X26" s="395">
        <v>888302</v>
      </c>
      <c r="Y26" s="397"/>
    </row>
    <row r="27" spans="2:25" s="63" customFormat="1" ht="12.75" x14ac:dyDescent="0.2">
      <c r="B27" s="325">
        <f t="shared" si="1"/>
        <v>2010</v>
      </c>
      <c r="C27" s="394">
        <v>40238</v>
      </c>
      <c r="D27" s="395">
        <v>282275</v>
      </c>
      <c r="E27" s="395">
        <v>124927</v>
      </c>
      <c r="F27" s="395"/>
      <c r="G27" s="395">
        <v>167854</v>
      </c>
      <c r="H27" s="395">
        <v>6477</v>
      </c>
      <c r="I27" s="395">
        <v>0</v>
      </c>
      <c r="J27" s="395">
        <v>581533</v>
      </c>
      <c r="K27" s="395">
        <v>120019</v>
      </c>
      <c r="L27" s="395">
        <v>89480</v>
      </c>
      <c r="M27" s="395"/>
      <c r="N27" s="395">
        <v>115920</v>
      </c>
      <c r="O27" s="395">
        <v>4862</v>
      </c>
      <c r="P27" s="395">
        <v>0</v>
      </c>
      <c r="Q27" s="395">
        <v>330281</v>
      </c>
      <c r="R27" s="395">
        <v>402294</v>
      </c>
      <c r="S27" s="395">
        <v>214407</v>
      </c>
      <c r="T27" s="395"/>
      <c r="U27" s="395">
        <v>283774</v>
      </c>
      <c r="V27" s="395">
        <v>11339</v>
      </c>
      <c r="W27" s="396">
        <v>0</v>
      </c>
      <c r="X27" s="395">
        <v>911814</v>
      </c>
      <c r="Y27" s="397"/>
    </row>
    <row r="28" spans="2:25" s="63" customFormat="1" ht="12.75" x14ac:dyDescent="0.2">
      <c r="B28" s="325">
        <f t="shared" si="1"/>
        <v>2010</v>
      </c>
      <c r="C28" s="394">
        <v>40269</v>
      </c>
      <c r="D28" s="395">
        <v>283343</v>
      </c>
      <c r="E28" s="395">
        <v>125111</v>
      </c>
      <c r="F28" s="395"/>
      <c r="G28" s="395">
        <v>172340</v>
      </c>
      <c r="H28" s="395">
        <v>6887</v>
      </c>
      <c r="I28" s="395">
        <v>0</v>
      </c>
      <c r="J28" s="395">
        <v>587681</v>
      </c>
      <c r="K28" s="395">
        <v>120234</v>
      </c>
      <c r="L28" s="395">
        <v>89554</v>
      </c>
      <c r="M28" s="395"/>
      <c r="N28" s="395">
        <v>118241</v>
      </c>
      <c r="O28" s="395">
        <v>5130</v>
      </c>
      <c r="P28" s="395">
        <v>0</v>
      </c>
      <c r="Q28" s="395">
        <v>333159</v>
      </c>
      <c r="R28" s="395">
        <v>403577</v>
      </c>
      <c r="S28" s="395">
        <v>214665</v>
      </c>
      <c r="T28" s="395"/>
      <c r="U28" s="395">
        <v>290581</v>
      </c>
      <c r="V28" s="395">
        <v>12017</v>
      </c>
      <c r="W28" s="396">
        <v>0</v>
      </c>
      <c r="X28" s="395">
        <v>920840</v>
      </c>
      <c r="Y28" s="397"/>
    </row>
    <row r="29" spans="2:25" s="63" customFormat="1" ht="12.75" x14ac:dyDescent="0.2">
      <c r="B29" s="325">
        <f t="shared" si="1"/>
        <v>2010</v>
      </c>
      <c r="C29" s="394">
        <v>40299</v>
      </c>
      <c r="D29" s="395">
        <v>283931</v>
      </c>
      <c r="E29" s="395">
        <v>125246</v>
      </c>
      <c r="F29" s="395"/>
      <c r="G29" s="395">
        <v>177041</v>
      </c>
      <c r="H29" s="395">
        <v>7424</v>
      </c>
      <c r="I29" s="395">
        <v>0</v>
      </c>
      <c r="J29" s="395">
        <v>593642</v>
      </c>
      <c r="K29" s="395">
        <v>120295</v>
      </c>
      <c r="L29" s="395">
        <v>89604</v>
      </c>
      <c r="M29" s="395"/>
      <c r="N29" s="395">
        <v>120927</v>
      </c>
      <c r="O29" s="395">
        <v>5506</v>
      </c>
      <c r="P29" s="395">
        <v>0</v>
      </c>
      <c r="Q29" s="395">
        <v>336332</v>
      </c>
      <c r="R29" s="395">
        <v>404226</v>
      </c>
      <c r="S29" s="395">
        <v>214850</v>
      </c>
      <c r="T29" s="395"/>
      <c r="U29" s="395">
        <v>297968</v>
      </c>
      <c r="V29" s="395">
        <v>12930</v>
      </c>
      <c r="W29" s="396">
        <v>0</v>
      </c>
      <c r="X29" s="395">
        <v>929974</v>
      </c>
      <c r="Y29" s="397"/>
    </row>
    <row r="30" spans="2:25" s="63" customFormat="1" ht="12.75" x14ac:dyDescent="0.2">
      <c r="B30" s="325">
        <f t="shared" si="1"/>
        <v>2010</v>
      </c>
      <c r="C30" s="394">
        <v>40330</v>
      </c>
      <c r="D30" s="395">
        <v>284810</v>
      </c>
      <c r="E30" s="395">
        <v>125671</v>
      </c>
      <c r="F30" s="395"/>
      <c r="G30" s="395">
        <v>183571</v>
      </c>
      <c r="H30" s="395">
        <v>8152</v>
      </c>
      <c r="I30" s="395">
        <v>0</v>
      </c>
      <c r="J30" s="395">
        <v>602204</v>
      </c>
      <c r="K30" s="395">
        <v>120331</v>
      </c>
      <c r="L30" s="395">
        <v>89759</v>
      </c>
      <c r="M30" s="395"/>
      <c r="N30" s="395">
        <v>125869</v>
      </c>
      <c r="O30" s="395">
        <v>6003</v>
      </c>
      <c r="P30" s="395">
        <v>0</v>
      </c>
      <c r="Q30" s="395">
        <v>341962</v>
      </c>
      <c r="R30" s="395">
        <v>405141</v>
      </c>
      <c r="S30" s="395">
        <v>215430</v>
      </c>
      <c r="T30" s="395"/>
      <c r="U30" s="395">
        <v>309440</v>
      </c>
      <c r="V30" s="395">
        <v>14155</v>
      </c>
      <c r="W30" s="396">
        <v>0</v>
      </c>
      <c r="X30" s="395">
        <v>944166</v>
      </c>
      <c r="Y30" s="397"/>
    </row>
    <row r="31" spans="2:25" s="63" customFormat="1" ht="12.75" x14ac:dyDescent="0.2">
      <c r="B31" s="325">
        <f t="shared" si="1"/>
        <v>2010</v>
      </c>
      <c r="C31" s="394">
        <v>40360</v>
      </c>
      <c r="D31" s="395">
        <v>285566</v>
      </c>
      <c r="E31" s="395">
        <v>125791</v>
      </c>
      <c r="F31" s="395"/>
      <c r="G31" s="395">
        <v>187484</v>
      </c>
      <c r="H31" s="395">
        <v>8702</v>
      </c>
      <c r="I31" s="395">
        <v>0</v>
      </c>
      <c r="J31" s="395">
        <v>607543</v>
      </c>
      <c r="K31" s="395">
        <v>120293</v>
      </c>
      <c r="L31" s="395">
        <v>89862</v>
      </c>
      <c r="M31" s="395"/>
      <c r="N31" s="395">
        <v>129748</v>
      </c>
      <c r="O31" s="395">
        <v>6395</v>
      </c>
      <c r="P31" s="395">
        <v>0</v>
      </c>
      <c r="Q31" s="395">
        <v>346298</v>
      </c>
      <c r="R31" s="395">
        <v>405859</v>
      </c>
      <c r="S31" s="395">
        <v>215653</v>
      </c>
      <c r="T31" s="395"/>
      <c r="U31" s="395">
        <v>317232</v>
      </c>
      <c r="V31" s="395">
        <v>15097</v>
      </c>
      <c r="W31" s="396">
        <v>0</v>
      </c>
      <c r="X31" s="395">
        <v>953841</v>
      </c>
      <c r="Y31" s="397"/>
    </row>
    <row r="32" spans="2:25" s="63" customFormat="1" ht="12.75" x14ac:dyDescent="0.2">
      <c r="B32" s="325">
        <f t="shared" si="1"/>
        <v>2010</v>
      </c>
      <c r="C32" s="394">
        <v>40391</v>
      </c>
      <c r="D32" s="395">
        <v>286679</v>
      </c>
      <c r="E32" s="395">
        <v>126047</v>
      </c>
      <c r="F32" s="395"/>
      <c r="G32" s="395">
        <v>192848</v>
      </c>
      <c r="H32" s="395">
        <v>9142</v>
      </c>
      <c r="I32" s="395">
        <v>0</v>
      </c>
      <c r="J32" s="395">
        <v>614716</v>
      </c>
      <c r="K32" s="395">
        <v>120325</v>
      </c>
      <c r="L32" s="395">
        <v>89942</v>
      </c>
      <c r="M32" s="395"/>
      <c r="N32" s="395">
        <v>133983</v>
      </c>
      <c r="O32" s="395">
        <v>6680</v>
      </c>
      <c r="P32" s="395">
        <v>0</v>
      </c>
      <c r="Q32" s="395">
        <v>350930</v>
      </c>
      <c r="R32" s="395">
        <v>407004</v>
      </c>
      <c r="S32" s="395">
        <v>215989</v>
      </c>
      <c r="T32" s="395"/>
      <c r="U32" s="395">
        <v>326831</v>
      </c>
      <c r="V32" s="395">
        <v>15822</v>
      </c>
      <c r="W32" s="396">
        <v>0</v>
      </c>
      <c r="X32" s="395">
        <v>965646</v>
      </c>
      <c r="Y32" s="397"/>
    </row>
    <row r="33" spans="2:25" s="63" customFormat="1" ht="12.75" x14ac:dyDescent="0.2">
      <c r="B33" s="325">
        <f t="shared" si="1"/>
        <v>2010</v>
      </c>
      <c r="C33" s="394">
        <v>40422</v>
      </c>
      <c r="D33" s="395">
        <v>286024</v>
      </c>
      <c r="E33" s="395">
        <v>126265</v>
      </c>
      <c r="F33" s="395"/>
      <c r="G33" s="395">
        <v>198415</v>
      </c>
      <c r="H33" s="395">
        <v>9139</v>
      </c>
      <c r="I33" s="395">
        <v>0</v>
      </c>
      <c r="J33" s="395">
        <v>619843</v>
      </c>
      <c r="K33" s="395">
        <v>119687</v>
      </c>
      <c r="L33" s="395">
        <v>90028</v>
      </c>
      <c r="M33" s="395"/>
      <c r="N33" s="395">
        <v>138718</v>
      </c>
      <c r="O33" s="395">
        <v>6646</v>
      </c>
      <c r="P33" s="395">
        <v>0</v>
      </c>
      <c r="Q33" s="395">
        <v>355079</v>
      </c>
      <c r="R33" s="395">
        <v>405711</v>
      </c>
      <c r="S33" s="395">
        <v>216293</v>
      </c>
      <c r="T33" s="395"/>
      <c r="U33" s="395">
        <v>337133</v>
      </c>
      <c r="V33" s="395">
        <v>15785</v>
      </c>
      <c r="W33" s="396">
        <v>0</v>
      </c>
      <c r="X33" s="395">
        <v>974922</v>
      </c>
      <c r="Y33" s="397"/>
    </row>
    <row r="34" spans="2:25" s="63" customFormat="1" ht="12.75" x14ac:dyDescent="0.2">
      <c r="B34" s="325">
        <f t="shared" si="1"/>
        <v>2010</v>
      </c>
      <c r="C34" s="394">
        <v>40452</v>
      </c>
      <c r="D34" s="395">
        <v>286401</v>
      </c>
      <c r="E34" s="395">
        <v>126450</v>
      </c>
      <c r="F34" s="395"/>
      <c r="G34" s="395">
        <v>204343</v>
      </c>
      <c r="H34" s="395">
        <v>9374</v>
      </c>
      <c r="I34" s="395">
        <v>0</v>
      </c>
      <c r="J34" s="395">
        <v>626568</v>
      </c>
      <c r="K34" s="395">
        <v>119515</v>
      </c>
      <c r="L34" s="395">
        <v>90089</v>
      </c>
      <c r="M34" s="395"/>
      <c r="N34" s="395">
        <v>143664</v>
      </c>
      <c r="O34" s="395">
        <v>6792</v>
      </c>
      <c r="P34" s="395">
        <v>0</v>
      </c>
      <c r="Q34" s="395">
        <v>360060</v>
      </c>
      <c r="R34" s="395">
        <v>405916</v>
      </c>
      <c r="S34" s="395">
        <v>216539</v>
      </c>
      <c r="T34" s="395"/>
      <c r="U34" s="395">
        <v>348007</v>
      </c>
      <c r="V34" s="395">
        <v>16166</v>
      </c>
      <c r="W34" s="396">
        <v>0</v>
      </c>
      <c r="X34" s="395">
        <v>986628</v>
      </c>
      <c r="Y34" s="397"/>
    </row>
    <row r="35" spans="2:25" s="63" customFormat="1" ht="12.75" x14ac:dyDescent="0.2">
      <c r="B35" s="325">
        <f t="shared" si="1"/>
        <v>2010</v>
      </c>
      <c r="C35" s="394">
        <v>40483</v>
      </c>
      <c r="D35" s="395">
        <v>286938</v>
      </c>
      <c r="E35" s="395">
        <v>126434</v>
      </c>
      <c r="F35" s="395"/>
      <c r="G35" s="395">
        <v>211646</v>
      </c>
      <c r="H35" s="395">
        <v>9728</v>
      </c>
      <c r="I35" s="395">
        <v>0</v>
      </c>
      <c r="J35" s="395">
        <v>634746</v>
      </c>
      <c r="K35" s="395">
        <v>119528</v>
      </c>
      <c r="L35" s="395">
        <v>90074</v>
      </c>
      <c r="M35" s="395"/>
      <c r="N35" s="395">
        <v>150888</v>
      </c>
      <c r="O35" s="395">
        <v>7036</v>
      </c>
      <c r="P35" s="395">
        <v>0</v>
      </c>
      <c r="Q35" s="395">
        <v>367526</v>
      </c>
      <c r="R35" s="395">
        <v>406466</v>
      </c>
      <c r="S35" s="395">
        <v>216508</v>
      </c>
      <c r="T35" s="395"/>
      <c r="U35" s="395">
        <v>362534</v>
      </c>
      <c r="V35" s="395">
        <v>16764</v>
      </c>
      <c r="W35" s="396">
        <v>0</v>
      </c>
      <c r="X35" s="395">
        <v>1002272</v>
      </c>
      <c r="Y35" s="397"/>
    </row>
    <row r="36" spans="2:25" s="63" customFormat="1" ht="12.75" x14ac:dyDescent="0.2">
      <c r="B36" s="325">
        <f t="shared" si="1"/>
        <v>2010</v>
      </c>
      <c r="C36" s="394">
        <v>40513</v>
      </c>
      <c r="D36" s="395">
        <v>287654</v>
      </c>
      <c r="E36" s="395">
        <v>126415</v>
      </c>
      <c r="F36" s="395"/>
      <c r="G36" s="395">
        <v>215860</v>
      </c>
      <c r="H36" s="395">
        <v>10094</v>
      </c>
      <c r="I36" s="395">
        <v>0</v>
      </c>
      <c r="J36" s="395">
        <v>640023</v>
      </c>
      <c r="K36" s="395">
        <v>119464</v>
      </c>
      <c r="L36" s="395">
        <v>89975</v>
      </c>
      <c r="M36" s="395"/>
      <c r="N36" s="395">
        <v>154356</v>
      </c>
      <c r="O36" s="395">
        <v>7277</v>
      </c>
      <c r="P36" s="395">
        <v>0</v>
      </c>
      <c r="Q36" s="395">
        <v>371072</v>
      </c>
      <c r="R36" s="395">
        <v>407118</v>
      </c>
      <c r="S36" s="395">
        <v>216390</v>
      </c>
      <c r="T36" s="395"/>
      <c r="U36" s="395">
        <v>370216</v>
      </c>
      <c r="V36" s="395">
        <v>17371</v>
      </c>
      <c r="W36" s="396">
        <v>0</v>
      </c>
      <c r="X36" s="395">
        <v>1011095</v>
      </c>
      <c r="Y36" s="397"/>
    </row>
    <row r="37" spans="2:25" s="63" customFormat="1" ht="12.75" x14ac:dyDescent="0.2">
      <c r="B37" s="325">
        <f t="shared" si="1"/>
        <v>2011</v>
      </c>
      <c r="C37" s="394">
        <v>40544</v>
      </c>
      <c r="D37" s="395">
        <v>288408</v>
      </c>
      <c r="E37" s="395">
        <v>126319</v>
      </c>
      <c r="F37" s="395"/>
      <c r="G37" s="395">
        <v>216052</v>
      </c>
      <c r="H37" s="395">
        <v>10664</v>
      </c>
      <c r="I37" s="395">
        <v>0</v>
      </c>
      <c r="J37" s="395">
        <v>641443</v>
      </c>
      <c r="K37" s="395">
        <v>119753</v>
      </c>
      <c r="L37" s="395">
        <v>89864</v>
      </c>
      <c r="M37" s="395"/>
      <c r="N37" s="395">
        <v>156801</v>
      </c>
      <c r="O37" s="395">
        <v>7665</v>
      </c>
      <c r="P37" s="395">
        <v>0</v>
      </c>
      <c r="Q37" s="395">
        <v>374083</v>
      </c>
      <c r="R37" s="395">
        <v>408161</v>
      </c>
      <c r="S37" s="395">
        <v>216183</v>
      </c>
      <c r="T37" s="395"/>
      <c r="U37" s="395">
        <v>372853</v>
      </c>
      <c r="V37" s="395">
        <v>18329</v>
      </c>
      <c r="W37" s="396">
        <v>0</v>
      </c>
      <c r="X37" s="395">
        <v>1015526</v>
      </c>
      <c r="Y37" s="397"/>
    </row>
    <row r="38" spans="2:25" s="63" customFormat="1" ht="12.75" x14ac:dyDescent="0.2">
      <c r="B38" s="325">
        <f t="shared" si="1"/>
        <v>2011</v>
      </c>
      <c r="C38" s="394">
        <v>40575</v>
      </c>
      <c r="D38" s="395">
        <v>288069</v>
      </c>
      <c r="E38" s="395">
        <v>126149</v>
      </c>
      <c r="F38" s="395"/>
      <c r="G38" s="395">
        <v>221369</v>
      </c>
      <c r="H38" s="395">
        <v>10862</v>
      </c>
      <c r="I38" s="395">
        <v>0</v>
      </c>
      <c r="J38" s="395">
        <v>646449</v>
      </c>
      <c r="K38" s="395">
        <v>119558</v>
      </c>
      <c r="L38" s="395">
        <v>89724</v>
      </c>
      <c r="M38" s="395"/>
      <c r="N38" s="395">
        <v>159862</v>
      </c>
      <c r="O38" s="395">
        <v>7770</v>
      </c>
      <c r="P38" s="395">
        <v>0</v>
      </c>
      <c r="Q38" s="395">
        <v>376914</v>
      </c>
      <c r="R38" s="395">
        <v>407627</v>
      </c>
      <c r="S38" s="395">
        <v>215873</v>
      </c>
      <c r="T38" s="395"/>
      <c r="U38" s="395">
        <v>381231</v>
      </c>
      <c r="V38" s="395">
        <v>18632</v>
      </c>
      <c r="W38" s="396">
        <v>0</v>
      </c>
      <c r="X38" s="395">
        <v>1023363</v>
      </c>
      <c r="Y38" s="397"/>
    </row>
    <row r="39" spans="2:25" s="63" customFormat="1" ht="12.75" x14ac:dyDescent="0.2">
      <c r="B39" s="325">
        <f t="shared" si="1"/>
        <v>2011</v>
      </c>
      <c r="C39" s="394">
        <v>40603</v>
      </c>
      <c r="D39" s="395">
        <v>288568</v>
      </c>
      <c r="E39" s="395">
        <v>126230</v>
      </c>
      <c r="F39" s="395"/>
      <c r="G39" s="395">
        <v>222893</v>
      </c>
      <c r="H39" s="395">
        <v>11369</v>
      </c>
      <c r="I39" s="395">
        <v>0</v>
      </c>
      <c r="J39" s="395">
        <v>649060</v>
      </c>
      <c r="K39" s="395">
        <v>119590</v>
      </c>
      <c r="L39" s="395">
        <v>89738</v>
      </c>
      <c r="M39" s="395"/>
      <c r="N39" s="395">
        <v>161524</v>
      </c>
      <c r="O39" s="395">
        <v>8148</v>
      </c>
      <c r="P39" s="395">
        <v>0</v>
      </c>
      <c r="Q39" s="395">
        <v>379000</v>
      </c>
      <c r="R39" s="395">
        <v>408158</v>
      </c>
      <c r="S39" s="395">
        <v>215968</v>
      </c>
      <c r="T39" s="395"/>
      <c r="U39" s="395">
        <v>384417</v>
      </c>
      <c r="V39" s="395">
        <v>19517</v>
      </c>
      <c r="W39" s="396">
        <v>0</v>
      </c>
      <c r="X39" s="395">
        <v>1028060</v>
      </c>
      <c r="Y39" s="397"/>
    </row>
    <row r="40" spans="2:25" s="63" customFormat="1" ht="12.75" x14ac:dyDescent="0.2">
      <c r="B40" s="325">
        <f t="shared" si="1"/>
        <v>2011</v>
      </c>
      <c r="C40" s="394">
        <v>40634</v>
      </c>
      <c r="D40" s="395">
        <v>285145</v>
      </c>
      <c r="E40" s="395">
        <v>126017</v>
      </c>
      <c r="F40" s="395"/>
      <c r="G40" s="395">
        <v>222010</v>
      </c>
      <c r="H40" s="395">
        <v>11684</v>
      </c>
      <c r="I40" s="395">
        <v>0</v>
      </c>
      <c r="J40" s="395">
        <v>644856</v>
      </c>
      <c r="K40" s="395">
        <v>118210</v>
      </c>
      <c r="L40" s="395">
        <v>89436</v>
      </c>
      <c r="M40" s="395"/>
      <c r="N40" s="395">
        <v>161901</v>
      </c>
      <c r="O40" s="395">
        <v>8406</v>
      </c>
      <c r="P40" s="395">
        <v>0</v>
      </c>
      <c r="Q40" s="395">
        <v>377953</v>
      </c>
      <c r="R40" s="395">
        <v>403355</v>
      </c>
      <c r="S40" s="395">
        <v>215453</v>
      </c>
      <c r="T40" s="395"/>
      <c r="U40" s="395">
        <v>383911</v>
      </c>
      <c r="V40" s="395">
        <v>20090</v>
      </c>
      <c r="W40" s="396">
        <v>0</v>
      </c>
      <c r="X40" s="395">
        <v>1022809</v>
      </c>
      <c r="Y40" s="397"/>
    </row>
    <row r="41" spans="2:25" s="63" customFormat="1" ht="12.75" x14ac:dyDescent="0.2">
      <c r="B41" s="325">
        <f t="shared" si="1"/>
        <v>2011</v>
      </c>
      <c r="C41" s="394">
        <v>40664</v>
      </c>
      <c r="D41" s="395">
        <v>287109</v>
      </c>
      <c r="E41" s="395">
        <v>125967</v>
      </c>
      <c r="F41" s="395"/>
      <c r="G41" s="395">
        <v>223751</v>
      </c>
      <c r="H41" s="395">
        <v>12497</v>
      </c>
      <c r="I41" s="395">
        <v>0</v>
      </c>
      <c r="J41" s="395">
        <v>649324</v>
      </c>
      <c r="K41" s="395">
        <v>119022</v>
      </c>
      <c r="L41" s="395">
        <v>89387</v>
      </c>
      <c r="M41" s="395"/>
      <c r="N41" s="395">
        <v>165419</v>
      </c>
      <c r="O41" s="395">
        <v>9044</v>
      </c>
      <c r="P41" s="395">
        <v>0</v>
      </c>
      <c r="Q41" s="395">
        <v>382872</v>
      </c>
      <c r="R41" s="395">
        <v>406131</v>
      </c>
      <c r="S41" s="395">
        <v>215354</v>
      </c>
      <c r="T41" s="395"/>
      <c r="U41" s="395">
        <v>389170</v>
      </c>
      <c r="V41" s="395">
        <v>21541</v>
      </c>
      <c r="W41" s="396">
        <v>0</v>
      </c>
      <c r="X41" s="395">
        <v>1032196</v>
      </c>
      <c r="Y41" s="397"/>
    </row>
    <row r="42" spans="2:25" s="63" customFormat="1" ht="12.75" x14ac:dyDescent="0.2">
      <c r="B42" s="325">
        <f t="shared" si="1"/>
        <v>2011</v>
      </c>
      <c r="C42" s="394">
        <v>40695</v>
      </c>
      <c r="D42" s="395">
        <v>287551</v>
      </c>
      <c r="E42" s="395">
        <v>126043</v>
      </c>
      <c r="F42" s="395"/>
      <c r="G42" s="395">
        <v>229420</v>
      </c>
      <c r="H42" s="395">
        <v>13001</v>
      </c>
      <c r="I42" s="395">
        <v>0</v>
      </c>
      <c r="J42" s="395">
        <v>656015</v>
      </c>
      <c r="K42" s="395">
        <v>119061</v>
      </c>
      <c r="L42" s="395">
        <v>89400</v>
      </c>
      <c r="M42" s="395"/>
      <c r="N42" s="395">
        <v>168072</v>
      </c>
      <c r="O42" s="395">
        <v>9368</v>
      </c>
      <c r="P42" s="395">
        <v>0</v>
      </c>
      <c r="Q42" s="395">
        <v>385901</v>
      </c>
      <c r="R42" s="395">
        <v>406612</v>
      </c>
      <c r="S42" s="395">
        <v>215443</v>
      </c>
      <c r="T42" s="395"/>
      <c r="U42" s="395">
        <v>397492</v>
      </c>
      <c r="V42" s="395">
        <v>22369</v>
      </c>
      <c r="W42" s="396">
        <v>0</v>
      </c>
      <c r="X42" s="395">
        <v>1041916</v>
      </c>
      <c r="Y42" s="397"/>
    </row>
    <row r="43" spans="2:25" s="63" customFormat="1" ht="12.75" x14ac:dyDescent="0.2">
      <c r="B43" s="325">
        <f t="shared" si="1"/>
        <v>2011</v>
      </c>
      <c r="C43" s="394">
        <v>40725</v>
      </c>
      <c r="D43" s="395">
        <v>286810</v>
      </c>
      <c r="E43" s="395">
        <v>125405</v>
      </c>
      <c r="F43" s="395"/>
      <c r="G43" s="395">
        <v>232716</v>
      </c>
      <c r="H43" s="395">
        <v>13322</v>
      </c>
      <c r="I43" s="395">
        <v>0</v>
      </c>
      <c r="J43" s="395">
        <v>658253</v>
      </c>
      <c r="K43" s="395">
        <v>118793</v>
      </c>
      <c r="L43" s="395">
        <v>88825</v>
      </c>
      <c r="M43" s="395"/>
      <c r="N43" s="395">
        <v>169626</v>
      </c>
      <c r="O43" s="395">
        <v>9629</v>
      </c>
      <c r="P43" s="395">
        <v>0</v>
      </c>
      <c r="Q43" s="395">
        <v>386873</v>
      </c>
      <c r="R43" s="395">
        <v>405603</v>
      </c>
      <c r="S43" s="395">
        <v>214230</v>
      </c>
      <c r="T43" s="395"/>
      <c r="U43" s="395">
        <v>402342</v>
      </c>
      <c r="V43" s="395">
        <v>22951</v>
      </c>
      <c r="W43" s="396">
        <v>0</v>
      </c>
      <c r="X43" s="395">
        <v>1045126</v>
      </c>
      <c r="Y43" s="397"/>
    </row>
    <row r="44" spans="2:25" s="63" customFormat="1" ht="12.75" x14ac:dyDescent="0.2">
      <c r="B44" s="325">
        <f t="shared" si="1"/>
        <v>2011</v>
      </c>
      <c r="C44" s="394">
        <v>40756</v>
      </c>
      <c r="D44" s="395">
        <v>287169</v>
      </c>
      <c r="E44" s="395">
        <v>125477</v>
      </c>
      <c r="F44" s="395"/>
      <c r="G44" s="395">
        <v>237643</v>
      </c>
      <c r="H44" s="395">
        <v>13665</v>
      </c>
      <c r="I44" s="395">
        <v>0</v>
      </c>
      <c r="J44" s="395">
        <v>663954</v>
      </c>
      <c r="K44" s="395">
        <v>118828</v>
      </c>
      <c r="L44" s="395">
        <v>89066</v>
      </c>
      <c r="M44" s="395"/>
      <c r="N44" s="395">
        <v>172104</v>
      </c>
      <c r="O44" s="395">
        <v>9887</v>
      </c>
      <c r="P44" s="395">
        <v>0</v>
      </c>
      <c r="Q44" s="395">
        <v>389885</v>
      </c>
      <c r="R44" s="395">
        <v>405997</v>
      </c>
      <c r="S44" s="395">
        <v>214543</v>
      </c>
      <c r="T44" s="395"/>
      <c r="U44" s="395">
        <v>409747</v>
      </c>
      <c r="V44" s="395">
        <v>23552</v>
      </c>
      <c r="W44" s="396">
        <v>0</v>
      </c>
      <c r="X44" s="395">
        <v>1053839</v>
      </c>
      <c r="Y44" s="397"/>
    </row>
    <row r="45" spans="2:25" s="63" customFormat="1" ht="12.75" x14ac:dyDescent="0.2">
      <c r="B45" s="325">
        <f t="shared" si="1"/>
        <v>2011</v>
      </c>
      <c r="C45" s="394">
        <v>40787</v>
      </c>
      <c r="D45" s="395">
        <v>287346</v>
      </c>
      <c r="E45" s="395">
        <v>125589</v>
      </c>
      <c r="F45" s="395"/>
      <c r="G45" s="395">
        <v>237602</v>
      </c>
      <c r="H45" s="395">
        <v>13650</v>
      </c>
      <c r="I45" s="395">
        <v>0</v>
      </c>
      <c r="J45" s="395">
        <v>664187</v>
      </c>
      <c r="K45" s="395">
        <v>118398</v>
      </c>
      <c r="L45" s="395">
        <v>89260</v>
      </c>
      <c r="M45" s="395"/>
      <c r="N45" s="395">
        <v>171862</v>
      </c>
      <c r="O45" s="395">
        <v>9861</v>
      </c>
      <c r="P45" s="395">
        <v>0</v>
      </c>
      <c r="Q45" s="395">
        <v>389381</v>
      </c>
      <c r="R45" s="395">
        <v>405744</v>
      </c>
      <c r="S45" s="395">
        <v>214849</v>
      </c>
      <c r="T45" s="395"/>
      <c r="U45" s="395">
        <v>409464</v>
      </c>
      <c r="V45" s="395">
        <v>23511</v>
      </c>
      <c r="W45" s="396">
        <v>0</v>
      </c>
      <c r="X45" s="395">
        <v>1053568</v>
      </c>
      <c r="Y45" s="397"/>
    </row>
    <row r="46" spans="2:25" s="63" customFormat="1" ht="12.75" x14ac:dyDescent="0.2">
      <c r="B46" s="325">
        <f t="shared" si="1"/>
        <v>2011</v>
      </c>
      <c r="C46" s="394">
        <v>40817</v>
      </c>
      <c r="D46" s="395">
        <v>285805</v>
      </c>
      <c r="E46" s="395">
        <v>125210</v>
      </c>
      <c r="F46" s="395"/>
      <c r="G46" s="395">
        <v>244518</v>
      </c>
      <c r="H46" s="395">
        <v>14421</v>
      </c>
      <c r="I46" s="395">
        <v>0</v>
      </c>
      <c r="J46" s="395">
        <v>669954</v>
      </c>
      <c r="K46" s="395">
        <v>117820</v>
      </c>
      <c r="L46" s="395">
        <v>89136</v>
      </c>
      <c r="M46" s="395"/>
      <c r="N46" s="395">
        <v>177646</v>
      </c>
      <c r="O46" s="395">
        <v>10422</v>
      </c>
      <c r="P46" s="395">
        <v>0</v>
      </c>
      <c r="Q46" s="395">
        <v>395024</v>
      </c>
      <c r="R46" s="395">
        <v>403625</v>
      </c>
      <c r="S46" s="395">
        <v>214346</v>
      </c>
      <c r="T46" s="395"/>
      <c r="U46" s="395">
        <v>422164</v>
      </c>
      <c r="V46" s="395">
        <v>24843</v>
      </c>
      <c r="W46" s="396">
        <v>0</v>
      </c>
      <c r="X46" s="395">
        <v>1064978</v>
      </c>
      <c r="Y46" s="397"/>
    </row>
    <row r="47" spans="2:25" s="63" customFormat="1" ht="12.75" x14ac:dyDescent="0.2">
      <c r="B47" s="325">
        <f t="shared" si="1"/>
        <v>2011</v>
      </c>
      <c r="C47" s="394">
        <v>40848</v>
      </c>
      <c r="D47" s="395">
        <v>284570</v>
      </c>
      <c r="E47" s="395">
        <v>124897</v>
      </c>
      <c r="F47" s="395"/>
      <c r="G47" s="395">
        <v>244805</v>
      </c>
      <c r="H47" s="395">
        <v>14395</v>
      </c>
      <c r="I47" s="395">
        <v>0</v>
      </c>
      <c r="J47" s="395">
        <v>668667</v>
      </c>
      <c r="K47" s="395">
        <v>117123</v>
      </c>
      <c r="L47" s="395">
        <v>88970</v>
      </c>
      <c r="M47" s="395"/>
      <c r="N47" s="395">
        <v>177882</v>
      </c>
      <c r="O47" s="395">
        <v>10364</v>
      </c>
      <c r="P47" s="395">
        <v>0</v>
      </c>
      <c r="Q47" s="395">
        <v>394339</v>
      </c>
      <c r="R47" s="395">
        <v>401693</v>
      </c>
      <c r="S47" s="395">
        <v>213867</v>
      </c>
      <c r="T47" s="395"/>
      <c r="U47" s="395">
        <v>422687</v>
      </c>
      <c r="V47" s="395">
        <v>24759</v>
      </c>
      <c r="W47" s="396">
        <v>0</v>
      </c>
      <c r="X47" s="395">
        <v>1063006</v>
      </c>
      <c r="Y47" s="397"/>
    </row>
    <row r="48" spans="2:25" s="63" customFormat="1" ht="12.75" x14ac:dyDescent="0.2">
      <c r="B48" s="325">
        <f t="shared" si="1"/>
        <v>2011</v>
      </c>
      <c r="C48" s="394">
        <v>40878</v>
      </c>
      <c r="D48" s="395">
        <v>287245</v>
      </c>
      <c r="E48" s="395">
        <v>124792</v>
      </c>
      <c r="F48" s="395"/>
      <c r="G48" s="395">
        <v>253065</v>
      </c>
      <c r="H48" s="395">
        <v>15067</v>
      </c>
      <c r="I48" s="395">
        <v>0</v>
      </c>
      <c r="J48" s="395">
        <v>680169</v>
      </c>
      <c r="K48" s="395">
        <v>117871</v>
      </c>
      <c r="L48" s="395">
        <v>89009</v>
      </c>
      <c r="M48" s="395"/>
      <c r="N48" s="395">
        <v>183726</v>
      </c>
      <c r="O48" s="395">
        <v>10837</v>
      </c>
      <c r="P48" s="395">
        <v>0</v>
      </c>
      <c r="Q48" s="395">
        <v>401443</v>
      </c>
      <c r="R48" s="395">
        <v>405116</v>
      </c>
      <c r="S48" s="395">
        <v>213801</v>
      </c>
      <c r="T48" s="395"/>
      <c r="U48" s="395">
        <v>436791</v>
      </c>
      <c r="V48" s="395">
        <v>25904</v>
      </c>
      <c r="W48" s="396">
        <v>0</v>
      </c>
      <c r="X48" s="395">
        <v>1081612</v>
      </c>
      <c r="Y48" s="397"/>
    </row>
    <row r="49" spans="2:25" s="63" customFormat="1" ht="12.75" x14ac:dyDescent="0.2">
      <c r="B49" s="325">
        <f t="shared" si="1"/>
        <v>2012</v>
      </c>
      <c r="C49" s="394">
        <v>40909</v>
      </c>
      <c r="D49" s="395">
        <v>287462</v>
      </c>
      <c r="E49" s="395">
        <v>123692</v>
      </c>
      <c r="F49" s="395"/>
      <c r="G49" s="395">
        <v>252071</v>
      </c>
      <c r="H49" s="395">
        <v>15016</v>
      </c>
      <c r="I49" s="395">
        <v>0</v>
      </c>
      <c r="J49" s="395">
        <v>678241</v>
      </c>
      <c r="K49" s="395">
        <v>117685</v>
      </c>
      <c r="L49" s="395">
        <v>88526</v>
      </c>
      <c r="M49" s="395"/>
      <c r="N49" s="395">
        <v>182814</v>
      </c>
      <c r="O49" s="395">
        <v>10786</v>
      </c>
      <c r="P49" s="395">
        <v>0</v>
      </c>
      <c r="Q49" s="395">
        <v>399811</v>
      </c>
      <c r="R49" s="395">
        <v>405147</v>
      </c>
      <c r="S49" s="395">
        <v>212218</v>
      </c>
      <c r="T49" s="395"/>
      <c r="U49" s="395">
        <v>434885</v>
      </c>
      <c r="V49" s="395">
        <v>25802</v>
      </c>
      <c r="W49" s="396">
        <v>0</v>
      </c>
      <c r="X49" s="395">
        <v>1078052</v>
      </c>
      <c r="Y49" s="397"/>
    </row>
    <row r="50" spans="2:25" s="63" customFormat="1" ht="12.75" x14ac:dyDescent="0.2">
      <c r="B50" s="325">
        <f t="shared" si="1"/>
        <v>2012</v>
      </c>
      <c r="C50" s="394">
        <v>40940</v>
      </c>
      <c r="D50" s="395">
        <v>288141</v>
      </c>
      <c r="E50" s="395">
        <v>123321</v>
      </c>
      <c r="F50" s="395"/>
      <c r="G50" s="395">
        <v>257841</v>
      </c>
      <c r="H50" s="395">
        <v>15866</v>
      </c>
      <c r="I50" s="395">
        <v>0</v>
      </c>
      <c r="J50" s="395">
        <v>685169</v>
      </c>
      <c r="K50" s="395">
        <v>117647</v>
      </c>
      <c r="L50" s="395">
        <v>88158</v>
      </c>
      <c r="M50" s="395"/>
      <c r="N50" s="395">
        <v>187623</v>
      </c>
      <c r="O50" s="395">
        <v>11407</v>
      </c>
      <c r="P50" s="395">
        <v>0</v>
      </c>
      <c r="Q50" s="395">
        <v>404835</v>
      </c>
      <c r="R50" s="395">
        <v>405788</v>
      </c>
      <c r="S50" s="395">
        <v>211479</v>
      </c>
      <c r="T50" s="395"/>
      <c r="U50" s="395">
        <v>445464</v>
      </c>
      <c r="V50" s="395">
        <v>27273</v>
      </c>
      <c r="W50" s="396">
        <v>0</v>
      </c>
      <c r="X50" s="395">
        <v>1090004</v>
      </c>
      <c r="Y50" s="397"/>
    </row>
    <row r="51" spans="2:25" s="63" customFormat="1" ht="12.75" x14ac:dyDescent="0.2">
      <c r="B51" s="325">
        <f t="shared" si="1"/>
        <v>2012</v>
      </c>
      <c r="C51" s="394">
        <v>40969</v>
      </c>
      <c r="D51" s="395">
        <v>288041</v>
      </c>
      <c r="E51" s="395">
        <v>123408</v>
      </c>
      <c r="F51" s="395"/>
      <c r="G51" s="395">
        <v>266227</v>
      </c>
      <c r="H51" s="395">
        <v>16203</v>
      </c>
      <c r="I51" s="395">
        <v>0</v>
      </c>
      <c r="J51" s="395">
        <v>693879</v>
      </c>
      <c r="K51" s="395">
        <v>117683</v>
      </c>
      <c r="L51" s="395">
        <v>88567</v>
      </c>
      <c r="M51" s="395"/>
      <c r="N51" s="395">
        <v>193233</v>
      </c>
      <c r="O51" s="395">
        <v>11662</v>
      </c>
      <c r="P51" s="395">
        <v>0</v>
      </c>
      <c r="Q51" s="395">
        <v>411145</v>
      </c>
      <c r="R51" s="395">
        <v>405724</v>
      </c>
      <c r="S51" s="395">
        <v>211975</v>
      </c>
      <c r="T51" s="395"/>
      <c r="U51" s="395">
        <v>459460</v>
      </c>
      <c r="V51" s="395">
        <v>27865</v>
      </c>
      <c r="W51" s="396">
        <v>0</v>
      </c>
      <c r="X51" s="395">
        <v>1105024</v>
      </c>
      <c r="Y51" s="397"/>
    </row>
    <row r="52" spans="2:25" s="63" customFormat="1" ht="12.75" x14ac:dyDescent="0.2">
      <c r="B52" s="325">
        <f t="shared" si="1"/>
        <v>2012</v>
      </c>
      <c r="C52" s="394">
        <v>41000</v>
      </c>
      <c r="D52" s="395">
        <v>288120</v>
      </c>
      <c r="E52" s="395">
        <v>122653</v>
      </c>
      <c r="F52" s="395"/>
      <c r="G52" s="395">
        <v>268907</v>
      </c>
      <c r="H52" s="395">
        <v>16729</v>
      </c>
      <c r="I52" s="395">
        <v>0</v>
      </c>
      <c r="J52" s="395">
        <v>696409</v>
      </c>
      <c r="K52" s="395">
        <v>117158</v>
      </c>
      <c r="L52" s="395">
        <v>88182</v>
      </c>
      <c r="M52" s="395"/>
      <c r="N52" s="395">
        <v>195360</v>
      </c>
      <c r="O52" s="395">
        <v>12056</v>
      </c>
      <c r="P52" s="395">
        <v>0</v>
      </c>
      <c r="Q52" s="395">
        <v>412756</v>
      </c>
      <c r="R52" s="395">
        <v>405278</v>
      </c>
      <c r="S52" s="395">
        <v>210835</v>
      </c>
      <c r="T52" s="395"/>
      <c r="U52" s="395">
        <v>464267</v>
      </c>
      <c r="V52" s="395">
        <v>28785</v>
      </c>
      <c r="W52" s="396">
        <v>0</v>
      </c>
      <c r="X52" s="395">
        <v>1109165</v>
      </c>
      <c r="Y52" s="397"/>
    </row>
    <row r="53" spans="2:25" s="63" customFormat="1" ht="12.75" x14ac:dyDescent="0.2">
      <c r="B53" s="325">
        <f t="shared" si="1"/>
        <v>2012</v>
      </c>
      <c r="C53" s="394">
        <v>41030</v>
      </c>
      <c r="D53" s="395">
        <v>288068</v>
      </c>
      <c r="E53" s="395">
        <v>122948</v>
      </c>
      <c r="F53" s="395"/>
      <c r="G53" s="395">
        <v>273881</v>
      </c>
      <c r="H53" s="395">
        <v>17101</v>
      </c>
      <c r="I53" s="395">
        <v>0</v>
      </c>
      <c r="J53" s="395">
        <v>701998</v>
      </c>
      <c r="K53" s="395">
        <v>117009</v>
      </c>
      <c r="L53" s="395">
        <v>88223</v>
      </c>
      <c r="M53" s="395"/>
      <c r="N53" s="395">
        <v>198501</v>
      </c>
      <c r="O53" s="395">
        <v>12311</v>
      </c>
      <c r="P53" s="395">
        <v>0</v>
      </c>
      <c r="Q53" s="395">
        <v>416044</v>
      </c>
      <c r="R53" s="395">
        <v>405077</v>
      </c>
      <c r="S53" s="395">
        <v>211171</v>
      </c>
      <c r="T53" s="395"/>
      <c r="U53" s="395">
        <v>472382</v>
      </c>
      <c r="V53" s="395">
        <v>29412</v>
      </c>
      <c r="W53" s="396">
        <v>0</v>
      </c>
      <c r="X53" s="395">
        <v>1118042</v>
      </c>
      <c r="Y53" s="397"/>
    </row>
    <row r="54" spans="2:25" s="63" customFormat="1" ht="12.75" x14ac:dyDescent="0.2">
      <c r="B54" s="325">
        <f t="shared" si="1"/>
        <v>2012</v>
      </c>
      <c r="C54" s="394">
        <v>41061</v>
      </c>
      <c r="D54" s="395">
        <v>288374</v>
      </c>
      <c r="E54" s="395">
        <v>123076</v>
      </c>
      <c r="F54" s="395"/>
      <c r="G54" s="395">
        <v>279232</v>
      </c>
      <c r="H54" s="395">
        <v>17619</v>
      </c>
      <c r="I54" s="395">
        <v>0</v>
      </c>
      <c r="J54" s="395">
        <v>708301</v>
      </c>
      <c r="K54" s="395">
        <v>117073</v>
      </c>
      <c r="L54" s="395">
        <v>88439</v>
      </c>
      <c r="M54" s="395"/>
      <c r="N54" s="395">
        <v>201334</v>
      </c>
      <c r="O54" s="395">
        <v>12603</v>
      </c>
      <c r="P54" s="395">
        <v>0</v>
      </c>
      <c r="Q54" s="395">
        <v>419449</v>
      </c>
      <c r="R54" s="395">
        <v>405447</v>
      </c>
      <c r="S54" s="395">
        <v>211515</v>
      </c>
      <c r="T54" s="395"/>
      <c r="U54" s="395">
        <v>480566</v>
      </c>
      <c r="V54" s="395">
        <v>30222</v>
      </c>
      <c r="W54" s="396">
        <v>0</v>
      </c>
      <c r="X54" s="395">
        <v>1127750</v>
      </c>
      <c r="Y54" s="397"/>
    </row>
    <row r="55" spans="2:25" s="63" customFormat="1" ht="12.75" x14ac:dyDescent="0.2">
      <c r="B55" s="325">
        <f t="shared" si="1"/>
        <v>2012</v>
      </c>
      <c r="C55" s="394">
        <v>41091</v>
      </c>
      <c r="D55" s="395">
        <v>288929</v>
      </c>
      <c r="E55" s="395">
        <v>122827</v>
      </c>
      <c r="F55" s="395"/>
      <c r="G55" s="395">
        <v>276215</v>
      </c>
      <c r="H55" s="395">
        <v>17698</v>
      </c>
      <c r="I55" s="395">
        <v>0</v>
      </c>
      <c r="J55" s="395">
        <v>705669</v>
      </c>
      <c r="K55" s="395">
        <v>117059</v>
      </c>
      <c r="L55" s="395">
        <v>88350</v>
      </c>
      <c r="M55" s="395"/>
      <c r="N55" s="395">
        <v>202381</v>
      </c>
      <c r="O55" s="395">
        <v>12634</v>
      </c>
      <c r="P55" s="395">
        <v>0</v>
      </c>
      <c r="Q55" s="395">
        <v>420424</v>
      </c>
      <c r="R55" s="395">
        <v>405988</v>
      </c>
      <c r="S55" s="395">
        <v>211177</v>
      </c>
      <c r="T55" s="395"/>
      <c r="U55" s="395">
        <v>478596</v>
      </c>
      <c r="V55" s="395">
        <v>30332</v>
      </c>
      <c r="W55" s="396">
        <v>0</v>
      </c>
      <c r="X55" s="395">
        <v>1126093</v>
      </c>
      <c r="Y55" s="397"/>
    </row>
    <row r="56" spans="2:25" s="63" customFormat="1" ht="12.75" x14ac:dyDescent="0.2">
      <c r="B56" s="325">
        <f t="shared" si="1"/>
        <v>2012</v>
      </c>
      <c r="C56" s="394">
        <v>41122</v>
      </c>
      <c r="D56" s="395">
        <v>287830</v>
      </c>
      <c r="E56" s="395">
        <v>116667</v>
      </c>
      <c r="F56" s="395"/>
      <c r="G56" s="395">
        <v>282810</v>
      </c>
      <c r="H56" s="395">
        <v>23663</v>
      </c>
      <c r="I56" s="395">
        <v>0</v>
      </c>
      <c r="J56" s="395">
        <v>710970</v>
      </c>
      <c r="K56" s="395">
        <v>116045</v>
      </c>
      <c r="L56" s="395">
        <v>81780</v>
      </c>
      <c r="M56" s="395"/>
      <c r="N56" s="395">
        <v>207070</v>
      </c>
      <c r="O56" s="395">
        <v>19160</v>
      </c>
      <c r="P56" s="395">
        <v>0</v>
      </c>
      <c r="Q56" s="395">
        <v>424055</v>
      </c>
      <c r="R56" s="395">
        <v>403875</v>
      </c>
      <c r="S56" s="395">
        <v>198447</v>
      </c>
      <c r="T56" s="395"/>
      <c r="U56" s="395">
        <v>489880</v>
      </c>
      <c r="V56" s="395">
        <v>42823</v>
      </c>
      <c r="W56" s="396">
        <v>0</v>
      </c>
      <c r="X56" s="395">
        <v>1135025</v>
      </c>
      <c r="Y56" s="397"/>
    </row>
    <row r="57" spans="2:25" s="63" customFormat="1" ht="12.75" x14ac:dyDescent="0.2">
      <c r="B57" s="325">
        <f t="shared" si="1"/>
        <v>2012</v>
      </c>
      <c r="C57" s="394">
        <v>41153</v>
      </c>
      <c r="D57" s="395">
        <v>287533</v>
      </c>
      <c r="E57" s="395">
        <v>116640</v>
      </c>
      <c r="F57" s="395"/>
      <c r="G57" s="395">
        <v>287696</v>
      </c>
      <c r="H57" s="395">
        <v>23918</v>
      </c>
      <c r="I57" s="395">
        <v>0</v>
      </c>
      <c r="J57" s="395">
        <v>715787</v>
      </c>
      <c r="K57" s="395">
        <v>115611</v>
      </c>
      <c r="L57" s="395">
        <v>81736</v>
      </c>
      <c r="M57" s="395"/>
      <c r="N57" s="395">
        <v>211511</v>
      </c>
      <c r="O57" s="395">
        <v>19316</v>
      </c>
      <c r="P57" s="395">
        <v>0</v>
      </c>
      <c r="Q57" s="395">
        <v>428174</v>
      </c>
      <c r="R57" s="395">
        <v>403144</v>
      </c>
      <c r="S57" s="395">
        <v>198376</v>
      </c>
      <c r="T57" s="395"/>
      <c r="U57" s="395">
        <v>499207</v>
      </c>
      <c r="V57" s="395">
        <v>43234</v>
      </c>
      <c r="W57" s="396">
        <v>0</v>
      </c>
      <c r="X57" s="395">
        <v>1143961</v>
      </c>
      <c r="Y57" s="397"/>
    </row>
    <row r="58" spans="2:25" s="63" customFormat="1" ht="12.75" x14ac:dyDescent="0.2">
      <c r="B58" s="325">
        <f t="shared" si="1"/>
        <v>2012</v>
      </c>
      <c r="C58" s="394">
        <v>41183</v>
      </c>
      <c r="D58" s="395">
        <v>288146</v>
      </c>
      <c r="E58" s="395">
        <v>115891</v>
      </c>
      <c r="F58" s="395"/>
      <c r="G58" s="395">
        <v>294781</v>
      </c>
      <c r="H58" s="395">
        <v>22975</v>
      </c>
      <c r="I58" s="395">
        <v>0</v>
      </c>
      <c r="J58" s="395">
        <v>721793</v>
      </c>
      <c r="K58" s="395">
        <v>115666</v>
      </c>
      <c r="L58" s="395">
        <v>81467</v>
      </c>
      <c r="M58" s="395"/>
      <c r="N58" s="395">
        <v>216179</v>
      </c>
      <c r="O58" s="395">
        <v>18437</v>
      </c>
      <c r="P58" s="395">
        <v>0</v>
      </c>
      <c r="Q58" s="395">
        <v>431749</v>
      </c>
      <c r="R58" s="395">
        <v>403812</v>
      </c>
      <c r="S58" s="395">
        <v>197358</v>
      </c>
      <c r="T58" s="395"/>
      <c r="U58" s="395">
        <v>510960</v>
      </c>
      <c r="V58" s="395">
        <v>41412</v>
      </c>
      <c r="W58" s="396">
        <v>0</v>
      </c>
      <c r="X58" s="395">
        <v>1153542</v>
      </c>
      <c r="Y58" s="397"/>
    </row>
    <row r="59" spans="2:25" s="63" customFormat="1" ht="12.75" x14ac:dyDescent="0.2">
      <c r="B59" s="325">
        <f t="shared" si="1"/>
        <v>2012</v>
      </c>
      <c r="C59" s="394">
        <v>41214</v>
      </c>
      <c r="D59" s="395">
        <v>288062</v>
      </c>
      <c r="E59" s="395">
        <v>115087</v>
      </c>
      <c r="F59" s="395"/>
      <c r="G59" s="395">
        <v>303521</v>
      </c>
      <c r="H59" s="395">
        <v>21524</v>
      </c>
      <c r="I59" s="395">
        <v>0</v>
      </c>
      <c r="J59" s="395">
        <v>728194</v>
      </c>
      <c r="K59" s="395">
        <v>115528</v>
      </c>
      <c r="L59" s="395">
        <v>81174</v>
      </c>
      <c r="M59" s="395"/>
      <c r="N59" s="395">
        <v>223185</v>
      </c>
      <c r="O59" s="395">
        <v>16946</v>
      </c>
      <c r="P59" s="395">
        <v>0</v>
      </c>
      <c r="Q59" s="395">
        <v>436833</v>
      </c>
      <c r="R59" s="395">
        <v>403590</v>
      </c>
      <c r="S59" s="395">
        <v>196261</v>
      </c>
      <c r="T59" s="395"/>
      <c r="U59" s="395">
        <v>526706</v>
      </c>
      <c r="V59" s="395">
        <v>38470</v>
      </c>
      <c r="W59" s="396">
        <v>0</v>
      </c>
      <c r="X59" s="395">
        <v>1165027</v>
      </c>
      <c r="Y59" s="397"/>
    </row>
    <row r="60" spans="2:25" s="63" customFormat="1" ht="12.75" x14ac:dyDescent="0.2">
      <c r="B60" s="325">
        <f t="shared" si="1"/>
        <v>2012</v>
      </c>
      <c r="C60" s="394">
        <v>41244</v>
      </c>
      <c r="D60" s="395">
        <v>290081</v>
      </c>
      <c r="E60" s="395">
        <v>114101</v>
      </c>
      <c r="F60" s="395"/>
      <c r="G60" s="395">
        <v>312354</v>
      </c>
      <c r="H60" s="395">
        <v>22465</v>
      </c>
      <c r="I60" s="395">
        <v>0</v>
      </c>
      <c r="J60" s="395">
        <v>739001</v>
      </c>
      <c r="K60" s="395">
        <v>116042</v>
      </c>
      <c r="L60" s="395">
        <v>80753</v>
      </c>
      <c r="M60" s="395"/>
      <c r="N60" s="395">
        <v>227534</v>
      </c>
      <c r="O60" s="395">
        <v>17699</v>
      </c>
      <c r="P60" s="395">
        <v>0</v>
      </c>
      <c r="Q60" s="395">
        <v>442028</v>
      </c>
      <c r="R60" s="395">
        <v>406123</v>
      </c>
      <c r="S60" s="395">
        <v>194854</v>
      </c>
      <c r="T60" s="395"/>
      <c r="U60" s="395">
        <v>539888</v>
      </c>
      <c r="V60" s="395">
        <v>40164</v>
      </c>
      <c r="W60" s="396">
        <v>0</v>
      </c>
      <c r="X60" s="395">
        <v>1181029</v>
      </c>
      <c r="Y60" s="397"/>
    </row>
    <row r="61" spans="2:25" s="63" customFormat="1" ht="12.75" x14ac:dyDescent="0.2">
      <c r="B61" s="325">
        <f t="shared" si="1"/>
        <v>2013</v>
      </c>
      <c r="C61" s="394">
        <v>41275</v>
      </c>
      <c r="D61" s="395">
        <v>291117</v>
      </c>
      <c r="E61" s="395">
        <v>114577</v>
      </c>
      <c r="F61" s="395"/>
      <c r="G61" s="395">
        <v>316102</v>
      </c>
      <c r="H61" s="395">
        <v>22998</v>
      </c>
      <c r="I61" s="395">
        <v>0</v>
      </c>
      <c r="J61" s="395">
        <v>744794</v>
      </c>
      <c r="K61" s="395">
        <v>116175</v>
      </c>
      <c r="L61" s="395">
        <v>80974</v>
      </c>
      <c r="M61" s="395"/>
      <c r="N61" s="395">
        <v>230222</v>
      </c>
      <c r="O61" s="395">
        <v>18080</v>
      </c>
      <c r="P61" s="395">
        <v>0</v>
      </c>
      <c r="Q61" s="395">
        <v>445451</v>
      </c>
      <c r="R61" s="395">
        <v>407292</v>
      </c>
      <c r="S61" s="395">
        <v>195551</v>
      </c>
      <c r="T61" s="395"/>
      <c r="U61" s="395">
        <v>546324</v>
      </c>
      <c r="V61" s="395">
        <v>41078</v>
      </c>
      <c r="W61" s="396">
        <v>0</v>
      </c>
      <c r="X61" s="395">
        <v>1190245</v>
      </c>
      <c r="Y61" s="397"/>
    </row>
    <row r="62" spans="2:25" s="63" customFormat="1" ht="12.75" x14ac:dyDescent="0.2">
      <c r="B62" s="325">
        <f t="shared" si="1"/>
        <v>2013</v>
      </c>
      <c r="C62" s="394">
        <v>41306</v>
      </c>
      <c r="D62" s="395">
        <v>291221</v>
      </c>
      <c r="E62" s="395">
        <v>114575</v>
      </c>
      <c r="F62" s="395"/>
      <c r="G62" s="395">
        <v>318370</v>
      </c>
      <c r="H62" s="395">
        <v>23375</v>
      </c>
      <c r="I62" s="395">
        <v>0</v>
      </c>
      <c r="J62" s="395">
        <v>747541</v>
      </c>
      <c r="K62" s="395">
        <v>116163</v>
      </c>
      <c r="L62" s="395">
        <v>81066</v>
      </c>
      <c r="M62" s="395"/>
      <c r="N62" s="395">
        <v>231652</v>
      </c>
      <c r="O62" s="395">
        <v>18243</v>
      </c>
      <c r="P62" s="395">
        <v>0</v>
      </c>
      <c r="Q62" s="395">
        <v>447124</v>
      </c>
      <c r="R62" s="395">
        <v>407384</v>
      </c>
      <c r="S62" s="395">
        <v>195641</v>
      </c>
      <c r="T62" s="395"/>
      <c r="U62" s="395">
        <v>550022</v>
      </c>
      <c r="V62" s="395">
        <v>41618</v>
      </c>
      <c r="W62" s="396">
        <v>0</v>
      </c>
      <c r="X62" s="395">
        <v>1194665</v>
      </c>
      <c r="Y62" s="397"/>
    </row>
    <row r="63" spans="2:25" s="63" customFormat="1" ht="12.75" x14ac:dyDescent="0.2">
      <c r="B63" s="325">
        <f t="shared" si="1"/>
        <v>2013</v>
      </c>
      <c r="C63" s="394">
        <v>41334</v>
      </c>
      <c r="D63" s="395">
        <v>290983</v>
      </c>
      <c r="E63" s="395">
        <v>114606</v>
      </c>
      <c r="F63" s="395"/>
      <c r="G63" s="395">
        <v>320652</v>
      </c>
      <c r="H63" s="395">
        <v>23775</v>
      </c>
      <c r="I63" s="395">
        <v>0</v>
      </c>
      <c r="J63" s="395">
        <v>750016</v>
      </c>
      <c r="K63" s="395">
        <v>116050</v>
      </c>
      <c r="L63" s="395">
        <v>81057</v>
      </c>
      <c r="M63" s="395"/>
      <c r="N63" s="395">
        <v>233004</v>
      </c>
      <c r="O63" s="395">
        <v>18581</v>
      </c>
      <c r="P63" s="395">
        <v>0</v>
      </c>
      <c r="Q63" s="395">
        <v>448692</v>
      </c>
      <c r="R63" s="395">
        <v>407033</v>
      </c>
      <c r="S63" s="395">
        <v>195663</v>
      </c>
      <c r="T63" s="395"/>
      <c r="U63" s="395">
        <v>553656</v>
      </c>
      <c r="V63" s="395">
        <v>42356</v>
      </c>
      <c r="W63" s="396">
        <v>0</v>
      </c>
      <c r="X63" s="395">
        <v>1198708</v>
      </c>
      <c r="Y63" s="397"/>
    </row>
    <row r="64" spans="2:25" s="63" customFormat="1" ht="12.75" x14ac:dyDescent="0.2">
      <c r="B64" s="325">
        <f t="shared" si="1"/>
        <v>2013</v>
      </c>
      <c r="C64" s="394">
        <v>41365</v>
      </c>
      <c r="D64" s="395">
        <v>291102</v>
      </c>
      <c r="E64" s="395">
        <v>114367</v>
      </c>
      <c r="F64" s="395"/>
      <c r="G64" s="395">
        <v>322878</v>
      </c>
      <c r="H64" s="395">
        <v>24167</v>
      </c>
      <c r="I64" s="395">
        <v>0</v>
      </c>
      <c r="J64" s="395">
        <v>752514</v>
      </c>
      <c r="K64" s="395">
        <v>116061</v>
      </c>
      <c r="L64" s="395">
        <v>81062</v>
      </c>
      <c r="M64" s="395"/>
      <c r="N64" s="395">
        <v>234782</v>
      </c>
      <c r="O64" s="395">
        <v>18856</v>
      </c>
      <c r="P64" s="395">
        <v>0</v>
      </c>
      <c r="Q64" s="395">
        <v>450761</v>
      </c>
      <c r="R64" s="395">
        <v>407163</v>
      </c>
      <c r="S64" s="395">
        <v>195429</v>
      </c>
      <c r="T64" s="395"/>
      <c r="U64" s="395">
        <v>557660</v>
      </c>
      <c r="V64" s="395">
        <v>43023</v>
      </c>
      <c r="W64" s="396">
        <v>0</v>
      </c>
      <c r="X64" s="395">
        <v>1203275</v>
      </c>
      <c r="Y64" s="397"/>
    </row>
    <row r="65" spans="2:25" s="63" customFormat="1" ht="12.75" x14ac:dyDescent="0.2">
      <c r="B65" s="325">
        <f t="shared" si="1"/>
        <v>2013</v>
      </c>
      <c r="C65" s="394">
        <v>41395</v>
      </c>
      <c r="D65" s="395">
        <v>287944</v>
      </c>
      <c r="E65" s="395">
        <v>113862</v>
      </c>
      <c r="F65" s="395"/>
      <c r="G65" s="395">
        <v>323526</v>
      </c>
      <c r="H65" s="395">
        <v>25946</v>
      </c>
      <c r="I65" s="395">
        <v>0</v>
      </c>
      <c r="J65" s="395">
        <v>751278</v>
      </c>
      <c r="K65" s="395">
        <v>115158</v>
      </c>
      <c r="L65" s="395">
        <v>80923</v>
      </c>
      <c r="M65" s="395"/>
      <c r="N65" s="395">
        <v>234339</v>
      </c>
      <c r="O65" s="395">
        <v>20403</v>
      </c>
      <c r="P65" s="395">
        <v>0</v>
      </c>
      <c r="Q65" s="395">
        <v>450823</v>
      </c>
      <c r="R65" s="395">
        <v>403102</v>
      </c>
      <c r="S65" s="395">
        <v>194785</v>
      </c>
      <c r="T65" s="395"/>
      <c r="U65" s="395">
        <v>557865</v>
      </c>
      <c r="V65" s="395">
        <v>46349</v>
      </c>
      <c r="W65" s="396">
        <v>0</v>
      </c>
      <c r="X65" s="395">
        <v>1202101</v>
      </c>
      <c r="Y65" s="397"/>
    </row>
    <row r="66" spans="2:25" s="63" customFormat="1" ht="12.75" x14ac:dyDescent="0.2">
      <c r="B66" s="325">
        <f t="shared" si="1"/>
        <v>2013</v>
      </c>
      <c r="C66" s="394">
        <v>41426</v>
      </c>
      <c r="D66" s="395">
        <v>287746</v>
      </c>
      <c r="E66" s="395">
        <v>113747</v>
      </c>
      <c r="F66" s="395"/>
      <c r="G66" s="395">
        <v>325229</v>
      </c>
      <c r="H66" s="395">
        <v>26338</v>
      </c>
      <c r="I66" s="395">
        <v>0</v>
      </c>
      <c r="J66" s="395">
        <v>753060</v>
      </c>
      <c r="K66" s="395">
        <v>114755</v>
      </c>
      <c r="L66" s="395">
        <v>80780</v>
      </c>
      <c r="M66" s="395"/>
      <c r="N66" s="395">
        <v>235609</v>
      </c>
      <c r="O66" s="395">
        <v>20883</v>
      </c>
      <c r="P66" s="395">
        <v>0</v>
      </c>
      <c r="Q66" s="395">
        <v>452027</v>
      </c>
      <c r="R66" s="395">
        <v>402501</v>
      </c>
      <c r="S66" s="395">
        <v>194527</v>
      </c>
      <c r="T66" s="395"/>
      <c r="U66" s="395">
        <v>560838</v>
      </c>
      <c r="V66" s="395">
        <v>47221</v>
      </c>
      <c r="W66" s="396">
        <v>0</v>
      </c>
      <c r="X66" s="395">
        <v>1205087</v>
      </c>
      <c r="Y66" s="397"/>
    </row>
    <row r="67" spans="2:25" s="63" customFormat="1" ht="12.75" x14ac:dyDescent="0.2">
      <c r="B67" s="325">
        <f t="shared" si="1"/>
        <v>2013</v>
      </c>
      <c r="C67" s="394">
        <v>41456</v>
      </c>
      <c r="D67" s="395">
        <v>286900</v>
      </c>
      <c r="E67" s="395">
        <v>113259</v>
      </c>
      <c r="F67" s="395"/>
      <c r="G67" s="395">
        <v>327498</v>
      </c>
      <c r="H67" s="395">
        <v>26760</v>
      </c>
      <c r="I67" s="395">
        <v>0</v>
      </c>
      <c r="J67" s="395">
        <v>754417</v>
      </c>
      <c r="K67" s="395">
        <v>113823</v>
      </c>
      <c r="L67" s="395">
        <v>80448</v>
      </c>
      <c r="M67" s="395"/>
      <c r="N67" s="395">
        <v>237441</v>
      </c>
      <c r="O67" s="395">
        <v>21252</v>
      </c>
      <c r="P67" s="395">
        <v>0</v>
      </c>
      <c r="Q67" s="395">
        <v>452964</v>
      </c>
      <c r="R67" s="395">
        <v>400723</v>
      </c>
      <c r="S67" s="395">
        <v>193707</v>
      </c>
      <c r="T67" s="395"/>
      <c r="U67" s="395">
        <v>564939</v>
      </c>
      <c r="V67" s="395">
        <v>48012</v>
      </c>
      <c r="W67" s="396">
        <v>0</v>
      </c>
      <c r="X67" s="395">
        <v>1207381</v>
      </c>
      <c r="Y67" s="397"/>
    </row>
    <row r="68" spans="2:25" s="63" customFormat="1" ht="12.75" x14ac:dyDescent="0.2">
      <c r="B68" s="325">
        <f t="shared" si="1"/>
        <v>2013</v>
      </c>
      <c r="C68" s="394">
        <v>41487</v>
      </c>
      <c r="D68" s="395">
        <v>286299</v>
      </c>
      <c r="E68" s="395">
        <v>112410</v>
      </c>
      <c r="F68" s="395"/>
      <c r="G68" s="395">
        <v>329632</v>
      </c>
      <c r="H68" s="395">
        <v>27306</v>
      </c>
      <c r="I68" s="395">
        <v>0</v>
      </c>
      <c r="J68" s="395">
        <v>755647</v>
      </c>
      <c r="K68" s="395">
        <v>112889</v>
      </c>
      <c r="L68" s="395">
        <v>79869</v>
      </c>
      <c r="M68" s="395"/>
      <c r="N68" s="395">
        <v>239444</v>
      </c>
      <c r="O68" s="395">
        <v>21757</v>
      </c>
      <c r="P68" s="395">
        <v>0</v>
      </c>
      <c r="Q68" s="395">
        <v>453959</v>
      </c>
      <c r="R68" s="395">
        <v>399188</v>
      </c>
      <c r="S68" s="395">
        <v>192279</v>
      </c>
      <c r="T68" s="395"/>
      <c r="U68" s="395">
        <v>569076</v>
      </c>
      <c r="V68" s="395">
        <v>49063</v>
      </c>
      <c r="W68" s="396">
        <v>0</v>
      </c>
      <c r="X68" s="395">
        <v>1209606</v>
      </c>
      <c r="Y68" s="397"/>
    </row>
    <row r="69" spans="2:25" s="63" customFormat="1" ht="12.75" x14ac:dyDescent="0.2">
      <c r="B69" s="325">
        <f t="shared" si="1"/>
        <v>2013</v>
      </c>
      <c r="C69" s="394">
        <v>41518</v>
      </c>
      <c r="D69" s="395">
        <v>287419</v>
      </c>
      <c r="E69" s="395">
        <v>110949</v>
      </c>
      <c r="F69" s="395"/>
      <c r="G69" s="395">
        <v>331319</v>
      </c>
      <c r="H69" s="395">
        <v>28726</v>
      </c>
      <c r="I69" s="395">
        <v>0</v>
      </c>
      <c r="J69" s="395">
        <v>758413</v>
      </c>
      <c r="K69" s="395">
        <v>112931</v>
      </c>
      <c r="L69" s="395">
        <v>78807</v>
      </c>
      <c r="M69" s="395"/>
      <c r="N69" s="395">
        <v>241073</v>
      </c>
      <c r="O69" s="395">
        <v>22887</v>
      </c>
      <c r="P69" s="395">
        <v>0</v>
      </c>
      <c r="Q69" s="395">
        <v>455698</v>
      </c>
      <c r="R69" s="395">
        <v>400350</v>
      </c>
      <c r="S69" s="395">
        <v>189756</v>
      </c>
      <c r="T69" s="395"/>
      <c r="U69" s="395">
        <v>572392</v>
      </c>
      <c r="V69" s="395">
        <v>51613</v>
      </c>
      <c r="W69" s="396">
        <v>0</v>
      </c>
      <c r="X69" s="395">
        <v>1214111</v>
      </c>
      <c r="Y69" s="397"/>
    </row>
    <row r="70" spans="2:25" s="63" customFormat="1" ht="12.75" x14ac:dyDescent="0.2">
      <c r="B70" s="325">
        <f t="shared" si="1"/>
        <v>2013</v>
      </c>
      <c r="C70" s="394">
        <v>41548</v>
      </c>
      <c r="D70" s="395">
        <v>287421</v>
      </c>
      <c r="E70" s="395">
        <v>110059</v>
      </c>
      <c r="F70" s="395"/>
      <c r="G70" s="395">
        <v>333585</v>
      </c>
      <c r="H70" s="395">
        <v>29640</v>
      </c>
      <c r="I70" s="395">
        <v>0</v>
      </c>
      <c r="J70" s="395">
        <v>760705</v>
      </c>
      <c r="K70" s="395">
        <v>112713</v>
      </c>
      <c r="L70" s="395">
        <v>77668</v>
      </c>
      <c r="M70" s="395"/>
      <c r="N70" s="395">
        <v>242881</v>
      </c>
      <c r="O70" s="395">
        <v>23639</v>
      </c>
      <c r="P70" s="395">
        <v>0</v>
      </c>
      <c r="Q70" s="395">
        <v>456901</v>
      </c>
      <c r="R70" s="395">
        <v>400134</v>
      </c>
      <c r="S70" s="395">
        <v>187727</v>
      </c>
      <c r="T70" s="395"/>
      <c r="U70" s="395">
        <v>576466</v>
      </c>
      <c r="V70" s="395">
        <v>53279</v>
      </c>
      <c r="W70" s="396">
        <v>0</v>
      </c>
      <c r="X70" s="395">
        <v>1217606</v>
      </c>
      <c r="Y70" s="397"/>
    </row>
    <row r="71" spans="2:25" s="63" customFormat="1" ht="12.75" x14ac:dyDescent="0.2">
      <c r="B71" s="325">
        <f t="shared" si="1"/>
        <v>2013</v>
      </c>
      <c r="C71" s="394">
        <v>41579</v>
      </c>
      <c r="D71" s="395">
        <v>288032</v>
      </c>
      <c r="E71" s="395">
        <v>109706</v>
      </c>
      <c r="F71" s="395"/>
      <c r="G71" s="395">
        <v>336778</v>
      </c>
      <c r="H71" s="395">
        <v>30000</v>
      </c>
      <c r="I71" s="395">
        <v>0</v>
      </c>
      <c r="J71" s="395">
        <v>764516</v>
      </c>
      <c r="K71" s="395">
        <v>112717</v>
      </c>
      <c r="L71" s="395">
        <v>77463</v>
      </c>
      <c r="M71" s="395"/>
      <c r="N71" s="395">
        <v>245366</v>
      </c>
      <c r="O71" s="395">
        <v>23904</v>
      </c>
      <c r="P71" s="395">
        <v>0</v>
      </c>
      <c r="Q71" s="395">
        <v>459450</v>
      </c>
      <c r="R71" s="395">
        <v>400749</v>
      </c>
      <c r="S71" s="395">
        <v>187169</v>
      </c>
      <c r="T71" s="395"/>
      <c r="U71" s="395">
        <v>582144</v>
      </c>
      <c r="V71" s="395">
        <v>53904</v>
      </c>
      <c r="W71" s="396">
        <v>0</v>
      </c>
      <c r="X71" s="395">
        <v>1223966</v>
      </c>
      <c r="Y71" s="397"/>
    </row>
    <row r="72" spans="2:25" s="63" customFormat="1" ht="12.75" x14ac:dyDescent="0.2">
      <c r="B72" s="325">
        <f t="shared" ref="B72:B135" si="2">+YEAR(C72)</f>
        <v>2013</v>
      </c>
      <c r="C72" s="394">
        <v>41609</v>
      </c>
      <c r="D72" s="395">
        <v>288459</v>
      </c>
      <c r="E72" s="395">
        <v>109144</v>
      </c>
      <c r="F72" s="395"/>
      <c r="G72" s="395">
        <v>339536</v>
      </c>
      <c r="H72" s="395">
        <v>30254</v>
      </c>
      <c r="I72" s="395">
        <v>0</v>
      </c>
      <c r="J72" s="395">
        <v>767393</v>
      </c>
      <c r="K72" s="395">
        <v>112309</v>
      </c>
      <c r="L72" s="395">
        <v>77638</v>
      </c>
      <c r="M72" s="395"/>
      <c r="N72" s="395">
        <v>247347</v>
      </c>
      <c r="O72" s="395">
        <v>24221</v>
      </c>
      <c r="P72" s="395">
        <v>0</v>
      </c>
      <c r="Q72" s="395">
        <v>461515</v>
      </c>
      <c r="R72" s="395">
        <v>400768</v>
      </c>
      <c r="S72" s="395">
        <v>186782</v>
      </c>
      <c r="T72" s="395"/>
      <c r="U72" s="395">
        <v>586883</v>
      </c>
      <c r="V72" s="395">
        <v>54475</v>
      </c>
      <c r="W72" s="396">
        <v>0</v>
      </c>
      <c r="X72" s="395">
        <v>1228908</v>
      </c>
      <c r="Y72" s="397"/>
    </row>
    <row r="73" spans="2:25" s="63" customFormat="1" ht="12.75" x14ac:dyDescent="0.2">
      <c r="B73" s="325">
        <f t="shared" si="2"/>
        <v>2014</v>
      </c>
      <c r="C73" s="394">
        <v>41640</v>
      </c>
      <c r="D73" s="395">
        <v>287495</v>
      </c>
      <c r="E73" s="395">
        <v>108852</v>
      </c>
      <c r="F73" s="395"/>
      <c r="G73" s="395">
        <v>343977</v>
      </c>
      <c r="H73" s="395">
        <v>30730</v>
      </c>
      <c r="I73" s="395">
        <v>0</v>
      </c>
      <c r="J73" s="395">
        <v>771054</v>
      </c>
      <c r="K73" s="395">
        <v>111320</v>
      </c>
      <c r="L73" s="395">
        <v>77061</v>
      </c>
      <c r="M73" s="395"/>
      <c r="N73" s="395">
        <v>250199</v>
      </c>
      <c r="O73" s="395">
        <v>24692</v>
      </c>
      <c r="P73" s="395">
        <v>0</v>
      </c>
      <c r="Q73" s="395">
        <v>463272</v>
      </c>
      <c r="R73" s="395">
        <v>398815</v>
      </c>
      <c r="S73" s="395">
        <v>185913</v>
      </c>
      <c r="T73" s="395"/>
      <c r="U73" s="395">
        <v>594176</v>
      </c>
      <c r="V73" s="395">
        <v>55422</v>
      </c>
      <c r="W73" s="396">
        <v>0</v>
      </c>
      <c r="X73" s="395">
        <v>1234326</v>
      </c>
      <c r="Y73" s="397"/>
    </row>
    <row r="74" spans="2:25" s="63" customFormat="1" ht="12.75" x14ac:dyDescent="0.2">
      <c r="B74" s="325">
        <f t="shared" si="2"/>
        <v>2014</v>
      </c>
      <c r="C74" s="394">
        <v>41671</v>
      </c>
      <c r="D74" s="395">
        <v>285935</v>
      </c>
      <c r="E74" s="395">
        <v>107883</v>
      </c>
      <c r="F74" s="395"/>
      <c r="G74" s="395">
        <v>345030</v>
      </c>
      <c r="H74" s="395">
        <v>31813</v>
      </c>
      <c r="I74" s="395">
        <v>0</v>
      </c>
      <c r="J74" s="395">
        <v>770661</v>
      </c>
      <c r="K74" s="395">
        <v>111117</v>
      </c>
      <c r="L74" s="395">
        <v>75818</v>
      </c>
      <c r="M74" s="395"/>
      <c r="N74" s="395">
        <v>250279</v>
      </c>
      <c r="O74" s="395">
        <v>25927</v>
      </c>
      <c r="P74" s="395">
        <v>0</v>
      </c>
      <c r="Q74" s="395">
        <v>463141</v>
      </c>
      <c r="R74" s="395">
        <v>397052</v>
      </c>
      <c r="S74" s="395">
        <v>183701</v>
      </c>
      <c r="T74" s="395"/>
      <c r="U74" s="395">
        <v>595309</v>
      </c>
      <c r="V74" s="395">
        <v>57740</v>
      </c>
      <c r="W74" s="396">
        <v>0</v>
      </c>
      <c r="X74" s="395">
        <v>1233802</v>
      </c>
      <c r="Y74" s="397"/>
    </row>
    <row r="75" spans="2:25" s="63" customFormat="1" ht="12.75" x14ac:dyDescent="0.2">
      <c r="B75" s="325">
        <f t="shared" si="2"/>
        <v>2014</v>
      </c>
      <c r="C75" s="394">
        <v>41699</v>
      </c>
      <c r="D75" s="395">
        <v>286445</v>
      </c>
      <c r="E75" s="395">
        <v>107894</v>
      </c>
      <c r="F75" s="395"/>
      <c r="G75" s="395">
        <v>347209</v>
      </c>
      <c r="H75" s="395">
        <v>32148</v>
      </c>
      <c r="I75" s="395">
        <v>0</v>
      </c>
      <c r="J75" s="395">
        <v>773696</v>
      </c>
      <c r="K75" s="395">
        <v>111073</v>
      </c>
      <c r="L75" s="395">
        <v>75876</v>
      </c>
      <c r="M75" s="395"/>
      <c r="N75" s="395">
        <v>251731</v>
      </c>
      <c r="O75" s="395">
        <v>26144</v>
      </c>
      <c r="P75" s="395">
        <v>0</v>
      </c>
      <c r="Q75" s="395">
        <v>464824</v>
      </c>
      <c r="R75" s="395">
        <v>397518</v>
      </c>
      <c r="S75" s="395">
        <v>183770</v>
      </c>
      <c r="T75" s="395"/>
      <c r="U75" s="395">
        <v>598940</v>
      </c>
      <c r="V75" s="395">
        <v>58292</v>
      </c>
      <c r="W75" s="396">
        <v>0</v>
      </c>
      <c r="X75" s="395">
        <v>1238520</v>
      </c>
      <c r="Y75" s="397"/>
    </row>
    <row r="76" spans="2:25" s="63" customFormat="1" ht="12.75" x14ac:dyDescent="0.2">
      <c r="B76" s="325">
        <f t="shared" si="2"/>
        <v>2014</v>
      </c>
      <c r="C76" s="394">
        <v>41730</v>
      </c>
      <c r="D76" s="395">
        <v>287373</v>
      </c>
      <c r="E76" s="395">
        <v>107871</v>
      </c>
      <c r="F76" s="395"/>
      <c r="G76" s="395">
        <v>348949</v>
      </c>
      <c r="H76" s="395">
        <v>32204</v>
      </c>
      <c r="I76" s="395">
        <v>0</v>
      </c>
      <c r="J76" s="395">
        <v>776397</v>
      </c>
      <c r="K76" s="395">
        <v>111174</v>
      </c>
      <c r="L76" s="395">
        <v>75651</v>
      </c>
      <c r="M76" s="395"/>
      <c r="N76" s="395">
        <v>253310</v>
      </c>
      <c r="O76" s="395">
        <v>26100</v>
      </c>
      <c r="P76" s="395">
        <v>0</v>
      </c>
      <c r="Q76" s="395">
        <v>466235</v>
      </c>
      <c r="R76" s="395">
        <v>398547</v>
      </c>
      <c r="S76" s="395">
        <v>183522</v>
      </c>
      <c r="T76" s="395"/>
      <c r="U76" s="395">
        <v>602259</v>
      </c>
      <c r="V76" s="395">
        <v>58304</v>
      </c>
      <c r="W76" s="396">
        <v>0</v>
      </c>
      <c r="X76" s="395">
        <v>1242632</v>
      </c>
      <c r="Y76" s="397"/>
    </row>
    <row r="77" spans="2:25" s="63" customFormat="1" ht="12.75" x14ac:dyDescent="0.2">
      <c r="B77" s="325">
        <f t="shared" si="2"/>
        <v>2014</v>
      </c>
      <c r="C77" s="394">
        <v>41760</v>
      </c>
      <c r="D77" s="395">
        <v>287751</v>
      </c>
      <c r="E77" s="395">
        <v>107839</v>
      </c>
      <c r="F77" s="395"/>
      <c r="G77" s="395">
        <v>350968</v>
      </c>
      <c r="H77" s="395">
        <v>32394</v>
      </c>
      <c r="I77" s="395">
        <v>0</v>
      </c>
      <c r="J77" s="395">
        <v>778952</v>
      </c>
      <c r="K77" s="395">
        <v>111202</v>
      </c>
      <c r="L77" s="395">
        <v>75719</v>
      </c>
      <c r="M77" s="395"/>
      <c r="N77" s="395">
        <v>254716</v>
      </c>
      <c r="O77" s="395">
        <v>26240</v>
      </c>
      <c r="P77" s="395">
        <v>0</v>
      </c>
      <c r="Q77" s="395">
        <v>467877</v>
      </c>
      <c r="R77" s="395">
        <v>398953</v>
      </c>
      <c r="S77" s="395">
        <v>183558</v>
      </c>
      <c r="T77" s="395"/>
      <c r="U77" s="395">
        <v>605684</v>
      </c>
      <c r="V77" s="395">
        <v>58634</v>
      </c>
      <c r="W77" s="396">
        <v>0</v>
      </c>
      <c r="X77" s="395">
        <v>1246829</v>
      </c>
      <c r="Y77" s="397"/>
    </row>
    <row r="78" spans="2:25" s="63" customFormat="1" ht="12.75" x14ac:dyDescent="0.2">
      <c r="B78" s="325">
        <f t="shared" si="2"/>
        <v>2014</v>
      </c>
      <c r="C78" s="394">
        <v>41791</v>
      </c>
      <c r="D78" s="395">
        <v>288957</v>
      </c>
      <c r="E78" s="395">
        <v>107906</v>
      </c>
      <c r="F78" s="395"/>
      <c r="G78" s="395">
        <v>353222</v>
      </c>
      <c r="H78" s="395">
        <v>32788</v>
      </c>
      <c r="I78" s="395">
        <v>0</v>
      </c>
      <c r="J78" s="395">
        <v>782873</v>
      </c>
      <c r="K78" s="395">
        <v>111355</v>
      </c>
      <c r="L78" s="395">
        <v>75992</v>
      </c>
      <c r="M78" s="395"/>
      <c r="N78" s="395">
        <v>256647</v>
      </c>
      <c r="O78" s="395">
        <v>26540</v>
      </c>
      <c r="P78" s="395">
        <v>0</v>
      </c>
      <c r="Q78" s="395">
        <v>470534</v>
      </c>
      <c r="R78" s="395">
        <v>400312</v>
      </c>
      <c r="S78" s="395">
        <v>183898</v>
      </c>
      <c r="T78" s="395"/>
      <c r="U78" s="395">
        <v>609869</v>
      </c>
      <c r="V78" s="395">
        <v>59328</v>
      </c>
      <c r="W78" s="396">
        <v>0</v>
      </c>
      <c r="X78" s="395">
        <v>1253407</v>
      </c>
      <c r="Y78" s="397"/>
    </row>
    <row r="79" spans="2:25" s="63" customFormat="1" ht="12.75" x14ac:dyDescent="0.2">
      <c r="B79" s="325">
        <f t="shared" si="2"/>
        <v>2014</v>
      </c>
      <c r="C79" s="394">
        <v>41821</v>
      </c>
      <c r="D79" s="395">
        <v>289553</v>
      </c>
      <c r="E79" s="395">
        <v>107060</v>
      </c>
      <c r="F79" s="395"/>
      <c r="G79" s="395">
        <v>355536</v>
      </c>
      <c r="H79" s="395">
        <v>33848</v>
      </c>
      <c r="I79" s="395">
        <v>0</v>
      </c>
      <c r="J79" s="395">
        <v>785997</v>
      </c>
      <c r="K79" s="395">
        <v>111373</v>
      </c>
      <c r="L79" s="395">
        <v>74825</v>
      </c>
      <c r="M79" s="395"/>
      <c r="N79" s="395">
        <v>259553</v>
      </c>
      <c r="O79" s="395">
        <v>27793</v>
      </c>
      <c r="P79" s="395">
        <v>0</v>
      </c>
      <c r="Q79" s="395">
        <v>473544</v>
      </c>
      <c r="R79" s="395">
        <v>400926</v>
      </c>
      <c r="S79" s="395">
        <v>181885</v>
      </c>
      <c r="T79" s="395"/>
      <c r="U79" s="395">
        <v>615089</v>
      </c>
      <c r="V79" s="395">
        <v>61641</v>
      </c>
      <c r="W79" s="396">
        <v>0</v>
      </c>
      <c r="X79" s="395">
        <v>1259541</v>
      </c>
      <c r="Y79" s="397"/>
    </row>
    <row r="80" spans="2:25" s="63" customFormat="1" ht="12.75" x14ac:dyDescent="0.2">
      <c r="B80" s="325">
        <f t="shared" si="2"/>
        <v>2014</v>
      </c>
      <c r="C80" s="394">
        <v>41852</v>
      </c>
      <c r="D80" s="395">
        <v>289755</v>
      </c>
      <c r="E80" s="395">
        <v>106935</v>
      </c>
      <c r="F80" s="395"/>
      <c r="G80" s="395">
        <v>357619</v>
      </c>
      <c r="H80" s="395">
        <v>34057</v>
      </c>
      <c r="I80" s="395">
        <v>0</v>
      </c>
      <c r="J80" s="395">
        <v>788366</v>
      </c>
      <c r="K80" s="395">
        <v>111178</v>
      </c>
      <c r="L80" s="395">
        <v>74941</v>
      </c>
      <c r="M80" s="395"/>
      <c r="N80" s="395">
        <v>261086</v>
      </c>
      <c r="O80" s="395">
        <v>28023</v>
      </c>
      <c r="P80" s="395">
        <v>0</v>
      </c>
      <c r="Q80" s="395">
        <v>475228</v>
      </c>
      <c r="R80" s="395">
        <v>400933</v>
      </c>
      <c r="S80" s="395">
        <v>181876</v>
      </c>
      <c r="T80" s="395"/>
      <c r="U80" s="395">
        <v>618705</v>
      </c>
      <c r="V80" s="395">
        <v>62080</v>
      </c>
      <c r="W80" s="396">
        <v>0</v>
      </c>
      <c r="X80" s="395">
        <v>1263594</v>
      </c>
      <c r="Y80" s="397"/>
    </row>
    <row r="81" spans="2:25" s="63" customFormat="1" ht="12.75" x14ac:dyDescent="0.2">
      <c r="B81" s="325">
        <f t="shared" si="2"/>
        <v>2014</v>
      </c>
      <c r="C81" s="394">
        <v>41883</v>
      </c>
      <c r="D81" s="395">
        <v>289334</v>
      </c>
      <c r="E81" s="395">
        <v>106925</v>
      </c>
      <c r="F81" s="395"/>
      <c r="G81" s="395">
        <v>360197</v>
      </c>
      <c r="H81" s="395">
        <v>34152</v>
      </c>
      <c r="I81" s="395">
        <v>0</v>
      </c>
      <c r="J81" s="395">
        <v>790608</v>
      </c>
      <c r="K81" s="395">
        <v>110940</v>
      </c>
      <c r="L81" s="395">
        <v>75437</v>
      </c>
      <c r="M81" s="395"/>
      <c r="N81" s="395">
        <v>262411</v>
      </c>
      <c r="O81" s="395">
        <v>28113</v>
      </c>
      <c r="P81" s="395">
        <v>0</v>
      </c>
      <c r="Q81" s="395">
        <v>476901</v>
      </c>
      <c r="R81" s="395">
        <v>400274</v>
      </c>
      <c r="S81" s="395">
        <v>182362</v>
      </c>
      <c r="T81" s="395"/>
      <c r="U81" s="395">
        <v>622608</v>
      </c>
      <c r="V81" s="395">
        <v>62265</v>
      </c>
      <c r="W81" s="396">
        <v>0</v>
      </c>
      <c r="X81" s="395">
        <v>1267509</v>
      </c>
      <c r="Y81" s="397"/>
    </row>
    <row r="82" spans="2:25" s="63" customFormat="1" ht="12.75" x14ac:dyDescent="0.2">
      <c r="B82" s="325">
        <f t="shared" si="2"/>
        <v>2014</v>
      </c>
      <c r="C82" s="394">
        <v>41913</v>
      </c>
      <c r="D82" s="395">
        <v>289527</v>
      </c>
      <c r="E82" s="395">
        <v>106689</v>
      </c>
      <c r="F82" s="395"/>
      <c r="G82" s="395">
        <v>362823</v>
      </c>
      <c r="H82" s="395">
        <v>34073</v>
      </c>
      <c r="I82" s="395">
        <v>0</v>
      </c>
      <c r="J82" s="395">
        <v>793112</v>
      </c>
      <c r="K82" s="395">
        <v>110909</v>
      </c>
      <c r="L82" s="395">
        <v>74919</v>
      </c>
      <c r="M82" s="395"/>
      <c r="N82" s="395">
        <v>264197</v>
      </c>
      <c r="O82" s="395">
        <v>27992</v>
      </c>
      <c r="P82" s="395">
        <v>0</v>
      </c>
      <c r="Q82" s="395">
        <v>478017</v>
      </c>
      <c r="R82" s="395">
        <v>400436</v>
      </c>
      <c r="S82" s="395">
        <v>181608</v>
      </c>
      <c r="T82" s="395"/>
      <c r="U82" s="395">
        <v>627020</v>
      </c>
      <c r="V82" s="395">
        <v>62065</v>
      </c>
      <c r="W82" s="396">
        <v>0</v>
      </c>
      <c r="X82" s="395">
        <v>1271129</v>
      </c>
      <c r="Y82" s="397"/>
    </row>
    <row r="83" spans="2:25" s="63" customFormat="1" ht="12.75" x14ac:dyDescent="0.2">
      <c r="B83" s="325">
        <f t="shared" si="2"/>
        <v>2014</v>
      </c>
      <c r="C83" s="394">
        <v>41944</v>
      </c>
      <c r="D83" s="395">
        <v>289642</v>
      </c>
      <c r="E83" s="395">
        <v>106361</v>
      </c>
      <c r="F83" s="395"/>
      <c r="G83" s="395">
        <v>364650</v>
      </c>
      <c r="H83" s="395">
        <v>34283</v>
      </c>
      <c r="I83" s="395">
        <v>0</v>
      </c>
      <c r="J83" s="395">
        <v>794936</v>
      </c>
      <c r="K83" s="395">
        <v>110935</v>
      </c>
      <c r="L83" s="395">
        <v>74860</v>
      </c>
      <c r="M83" s="395"/>
      <c r="N83" s="395">
        <v>265553</v>
      </c>
      <c r="O83" s="395">
        <v>28146</v>
      </c>
      <c r="P83" s="395">
        <v>0</v>
      </c>
      <c r="Q83" s="395">
        <v>479494</v>
      </c>
      <c r="R83" s="395">
        <v>400577</v>
      </c>
      <c r="S83" s="395">
        <v>181221</v>
      </c>
      <c r="T83" s="395"/>
      <c r="U83" s="395">
        <v>630203</v>
      </c>
      <c r="V83" s="395">
        <v>62429</v>
      </c>
      <c r="W83" s="396">
        <v>0</v>
      </c>
      <c r="X83" s="395">
        <v>1274430</v>
      </c>
      <c r="Y83" s="397"/>
    </row>
    <row r="84" spans="2:25" s="63" customFormat="1" ht="12.75" x14ac:dyDescent="0.2">
      <c r="B84" s="325">
        <f t="shared" si="2"/>
        <v>2014</v>
      </c>
      <c r="C84" s="394">
        <v>41974</v>
      </c>
      <c r="D84" s="395">
        <v>290598</v>
      </c>
      <c r="E84" s="395">
        <v>106311</v>
      </c>
      <c r="F84" s="395"/>
      <c r="G84" s="395">
        <v>367802</v>
      </c>
      <c r="H84" s="395">
        <v>34413</v>
      </c>
      <c r="I84" s="395">
        <v>0</v>
      </c>
      <c r="J84" s="395">
        <v>799124</v>
      </c>
      <c r="K84" s="395">
        <v>111058</v>
      </c>
      <c r="L84" s="395">
        <v>75235</v>
      </c>
      <c r="M84" s="395"/>
      <c r="N84" s="395">
        <v>267943</v>
      </c>
      <c r="O84" s="395">
        <v>28268</v>
      </c>
      <c r="P84" s="395">
        <v>0</v>
      </c>
      <c r="Q84" s="395">
        <v>482504</v>
      </c>
      <c r="R84" s="395">
        <v>401656</v>
      </c>
      <c r="S84" s="395">
        <v>181546</v>
      </c>
      <c r="T84" s="395"/>
      <c r="U84" s="395">
        <v>635745</v>
      </c>
      <c r="V84" s="395">
        <v>62681</v>
      </c>
      <c r="W84" s="396">
        <v>0</v>
      </c>
      <c r="X84" s="395">
        <v>1281628</v>
      </c>
      <c r="Y84" s="397"/>
    </row>
    <row r="85" spans="2:25" s="63" customFormat="1" ht="12.75" x14ac:dyDescent="0.2">
      <c r="B85" s="325">
        <f t="shared" si="2"/>
        <v>2015</v>
      </c>
      <c r="C85" s="394">
        <v>42005</v>
      </c>
      <c r="D85" s="395">
        <v>288077</v>
      </c>
      <c r="E85" s="395">
        <v>105707</v>
      </c>
      <c r="F85" s="395"/>
      <c r="G85" s="395">
        <v>373408</v>
      </c>
      <c r="H85" s="395">
        <v>34985</v>
      </c>
      <c r="I85" s="395">
        <v>0</v>
      </c>
      <c r="J85" s="395">
        <v>802177</v>
      </c>
      <c r="K85" s="395">
        <v>110424</v>
      </c>
      <c r="L85" s="395">
        <v>74385</v>
      </c>
      <c r="M85" s="395"/>
      <c r="N85" s="395">
        <v>270420</v>
      </c>
      <c r="O85" s="395">
        <v>28687</v>
      </c>
      <c r="P85" s="395">
        <v>0</v>
      </c>
      <c r="Q85" s="395">
        <v>483916</v>
      </c>
      <c r="R85" s="395">
        <v>398501</v>
      </c>
      <c r="S85" s="395">
        <v>180092</v>
      </c>
      <c r="T85" s="395"/>
      <c r="U85" s="395">
        <v>643828</v>
      </c>
      <c r="V85" s="395">
        <v>63672</v>
      </c>
      <c r="W85" s="396">
        <v>0</v>
      </c>
      <c r="X85" s="395">
        <v>1286093</v>
      </c>
      <c r="Y85" s="397"/>
    </row>
    <row r="86" spans="2:25" s="63" customFormat="1" ht="12.75" x14ac:dyDescent="0.2">
      <c r="B86" s="325">
        <f t="shared" si="2"/>
        <v>2015</v>
      </c>
      <c r="C86" s="394">
        <v>42036</v>
      </c>
      <c r="D86" s="395">
        <v>288289</v>
      </c>
      <c r="E86" s="395">
        <v>105538</v>
      </c>
      <c r="F86" s="395"/>
      <c r="G86" s="395">
        <v>375153</v>
      </c>
      <c r="H86" s="395">
        <v>35009</v>
      </c>
      <c r="I86" s="395">
        <v>0</v>
      </c>
      <c r="J86" s="395">
        <v>803989</v>
      </c>
      <c r="K86" s="395">
        <v>110423</v>
      </c>
      <c r="L86" s="395">
        <v>74432</v>
      </c>
      <c r="M86" s="395"/>
      <c r="N86" s="395">
        <v>271647</v>
      </c>
      <c r="O86" s="395">
        <v>28687</v>
      </c>
      <c r="P86" s="395">
        <v>0</v>
      </c>
      <c r="Q86" s="395">
        <v>485189</v>
      </c>
      <c r="R86" s="395">
        <v>398712</v>
      </c>
      <c r="S86" s="395">
        <v>179970</v>
      </c>
      <c r="T86" s="395"/>
      <c r="U86" s="395">
        <v>646800</v>
      </c>
      <c r="V86" s="395">
        <v>63696</v>
      </c>
      <c r="W86" s="396">
        <v>0</v>
      </c>
      <c r="X86" s="395">
        <v>1289178</v>
      </c>
      <c r="Y86" s="397"/>
    </row>
    <row r="87" spans="2:25" s="63" customFormat="1" ht="12.75" x14ac:dyDescent="0.2">
      <c r="B87" s="325">
        <f t="shared" si="2"/>
        <v>2015</v>
      </c>
      <c r="C87" s="394">
        <v>42064</v>
      </c>
      <c r="D87" s="395">
        <v>288568</v>
      </c>
      <c r="E87" s="395">
        <v>105402</v>
      </c>
      <c r="F87" s="395"/>
      <c r="G87" s="395">
        <v>377612</v>
      </c>
      <c r="H87" s="395">
        <v>35086</v>
      </c>
      <c r="I87" s="395">
        <v>0</v>
      </c>
      <c r="J87" s="395">
        <v>806668</v>
      </c>
      <c r="K87" s="395">
        <v>110370</v>
      </c>
      <c r="L87" s="395">
        <v>74896</v>
      </c>
      <c r="M87" s="395"/>
      <c r="N87" s="395">
        <v>273086</v>
      </c>
      <c r="O87" s="395">
        <v>28777</v>
      </c>
      <c r="P87" s="395">
        <v>0</v>
      </c>
      <c r="Q87" s="395">
        <v>487129</v>
      </c>
      <c r="R87" s="395">
        <v>398938</v>
      </c>
      <c r="S87" s="395">
        <v>180298</v>
      </c>
      <c r="T87" s="395"/>
      <c r="U87" s="395">
        <v>650698</v>
      </c>
      <c r="V87" s="395">
        <v>63863</v>
      </c>
      <c r="W87" s="396">
        <v>0</v>
      </c>
      <c r="X87" s="395">
        <v>1293797</v>
      </c>
      <c r="Y87" s="397"/>
    </row>
    <row r="88" spans="2:25" s="63" customFormat="1" ht="12.75" x14ac:dyDescent="0.2">
      <c r="B88" s="325">
        <f t="shared" si="2"/>
        <v>2015</v>
      </c>
      <c r="C88" s="394">
        <v>42095</v>
      </c>
      <c r="D88" s="395">
        <v>288868</v>
      </c>
      <c r="E88" s="395">
        <v>105285</v>
      </c>
      <c r="F88" s="395"/>
      <c r="G88" s="395">
        <v>379874</v>
      </c>
      <c r="H88" s="395">
        <v>35272</v>
      </c>
      <c r="I88" s="395">
        <v>0</v>
      </c>
      <c r="J88" s="395">
        <v>809299</v>
      </c>
      <c r="K88" s="395">
        <v>110349</v>
      </c>
      <c r="L88" s="395">
        <v>74817</v>
      </c>
      <c r="M88" s="395"/>
      <c r="N88" s="395">
        <v>274911</v>
      </c>
      <c r="O88" s="395">
        <v>29023</v>
      </c>
      <c r="P88" s="395">
        <v>0</v>
      </c>
      <c r="Q88" s="395">
        <v>489100</v>
      </c>
      <c r="R88" s="395">
        <v>399217</v>
      </c>
      <c r="S88" s="395">
        <v>180102</v>
      </c>
      <c r="T88" s="395"/>
      <c r="U88" s="395">
        <v>654785</v>
      </c>
      <c r="V88" s="395">
        <v>64295</v>
      </c>
      <c r="W88" s="396">
        <v>0</v>
      </c>
      <c r="X88" s="395">
        <v>1298399</v>
      </c>
      <c r="Y88" s="397"/>
    </row>
    <row r="89" spans="2:25" s="63" customFormat="1" ht="12.75" x14ac:dyDescent="0.2">
      <c r="B89" s="325">
        <f t="shared" si="2"/>
        <v>2015</v>
      </c>
      <c r="C89" s="394">
        <v>42125</v>
      </c>
      <c r="D89" s="395">
        <v>289236</v>
      </c>
      <c r="E89" s="395">
        <v>105163</v>
      </c>
      <c r="F89" s="395"/>
      <c r="G89" s="395">
        <v>381450</v>
      </c>
      <c r="H89" s="395">
        <v>35349</v>
      </c>
      <c r="I89" s="395">
        <v>0</v>
      </c>
      <c r="J89" s="395">
        <v>811198</v>
      </c>
      <c r="K89" s="395">
        <v>110347</v>
      </c>
      <c r="L89" s="395">
        <v>74786</v>
      </c>
      <c r="M89" s="395"/>
      <c r="N89" s="395">
        <v>275948</v>
      </c>
      <c r="O89" s="395">
        <v>29091</v>
      </c>
      <c r="P89" s="395">
        <v>0</v>
      </c>
      <c r="Q89" s="395">
        <v>490172</v>
      </c>
      <c r="R89" s="395">
        <v>399583</v>
      </c>
      <c r="S89" s="395">
        <v>179949</v>
      </c>
      <c r="T89" s="395"/>
      <c r="U89" s="395">
        <v>657398</v>
      </c>
      <c r="V89" s="395">
        <v>64440</v>
      </c>
      <c r="W89" s="396">
        <v>0</v>
      </c>
      <c r="X89" s="395">
        <v>1301370</v>
      </c>
      <c r="Y89" s="397"/>
    </row>
    <row r="90" spans="2:25" s="63" customFormat="1" ht="12.75" x14ac:dyDescent="0.2">
      <c r="B90" s="325">
        <f t="shared" si="2"/>
        <v>2015</v>
      </c>
      <c r="C90" s="394">
        <v>42156</v>
      </c>
      <c r="D90" s="395">
        <v>289051</v>
      </c>
      <c r="E90" s="395">
        <v>104884</v>
      </c>
      <c r="F90" s="395"/>
      <c r="G90" s="395">
        <v>383881</v>
      </c>
      <c r="H90" s="395">
        <v>35662</v>
      </c>
      <c r="I90" s="395">
        <v>0</v>
      </c>
      <c r="J90" s="395">
        <v>813478</v>
      </c>
      <c r="K90" s="395">
        <v>110287</v>
      </c>
      <c r="L90" s="395">
        <v>74517</v>
      </c>
      <c r="M90" s="395"/>
      <c r="N90" s="395">
        <v>277655</v>
      </c>
      <c r="O90" s="395">
        <v>29464</v>
      </c>
      <c r="P90" s="395">
        <v>0</v>
      </c>
      <c r="Q90" s="395">
        <v>491923</v>
      </c>
      <c r="R90" s="395">
        <v>399338</v>
      </c>
      <c r="S90" s="395">
        <v>179401</v>
      </c>
      <c r="T90" s="395"/>
      <c r="U90" s="395">
        <v>661536</v>
      </c>
      <c r="V90" s="395">
        <v>65126</v>
      </c>
      <c r="W90" s="396">
        <v>0</v>
      </c>
      <c r="X90" s="395">
        <v>1305401</v>
      </c>
      <c r="Y90" s="397"/>
    </row>
    <row r="91" spans="2:25" s="63" customFormat="1" ht="12.75" x14ac:dyDescent="0.2">
      <c r="B91" s="325">
        <f t="shared" si="2"/>
        <v>2015</v>
      </c>
      <c r="C91" s="394">
        <v>42186</v>
      </c>
      <c r="D91" s="395">
        <v>289446</v>
      </c>
      <c r="E91" s="395">
        <v>105035</v>
      </c>
      <c r="F91" s="395"/>
      <c r="G91" s="395">
        <v>387145</v>
      </c>
      <c r="H91" s="395">
        <v>35854</v>
      </c>
      <c r="I91" s="395">
        <v>0</v>
      </c>
      <c r="J91" s="395">
        <v>817480</v>
      </c>
      <c r="K91" s="395">
        <v>110438</v>
      </c>
      <c r="L91" s="395">
        <v>74672</v>
      </c>
      <c r="M91" s="395"/>
      <c r="N91" s="395">
        <v>281099</v>
      </c>
      <c r="O91" s="395">
        <v>29626</v>
      </c>
      <c r="P91" s="395">
        <v>0</v>
      </c>
      <c r="Q91" s="395">
        <v>495835</v>
      </c>
      <c r="R91" s="395">
        <v>399884</v>
      </c>
      <c r="S91" s="395">
        <v>179707</v>
      </c>
      <c r="T91" s="395"/>
      <c r="U91" s="395">
        <v>668244</v>
      </c>
      <c r="V91" s="395">
        <v>65480</v>
      </c>
      <c r="W91" s="396">
        <v>0</v>
      </c>
      <c r="X91" s="395">
        <v>1313315</v>
      </c>
      <c r="Y91" s="397"/>
    </row>
    <row r="92" spans="2:25" s="63" customFormat="1" ht="12.75" x14ac:dyDescent="0.2">
      <c r="B92" s="325">
        <f t="shared" si="2"/>
        <v>2015</v>
      </c>
      <c r="C92" s="394">
        <v>42217</v>
      </c>
      <c r="D92" s="395">
        <v>289186</v>
      </c>
      <c r="E92" s="395">
        <v>104933</v>
      </c>
      <c r="F92" s="395"/>
      <c r="G92" s="395">
        <v>388790</v>
      </c>
      <c r="H92" s="395">
        <v>35902</v>
      </c>
      <c r="I92" s="395">
        <v>0</v>
      </c>
      <c r="J92" s="395">
        <v>818811</v>
      </c>
      <c r="K92" s="395">
        <v>110169</v>
      </c>
      <c r="L92" s="395">
        <v>74524</v>
      </c>
      <c r="M92" s="395"/>
      <c r="N92" s="395">
        <v>282181</v>
      </c>
      <c r="O92" s="395">
        <v>29711</v>
      </c>
      <c r="P92" s="395">
        <v>0</v>
      </c>
      <c r="Q92" s="395">
        <v>496585</v>
      </c>
      <c r="R92" s="395">
        <v>399355</v>
      </c>
      <c r="S92" s="395">
        <v>179457</v>
      </c>
      <c r="T92" s="395"/>
      <c r="U92" s="395">
        <v>670971</v>
      </c>
      <c r="V92" s="395">
        <v>65613</v>
      </c>
      <c r="W92" s="396">
        <v>0</v>
      </c>
      <c r="X92" s="395">
        <v>1315396</v>
      </c>
      <c r="Y92" s="397"/>
    </row>
    <row r="93" spans="2:25" s="63" customFormat="1" ht="12.75" x14ac:dyDescent="0.2">
      <c r="B93" s="325">
        <f t="shared" si="2"/>
        <v>2015</v>
      </c>
      <c r="C93" s="394">
        <v>42248</v>
      </c>
      <c r="D93" s="395">
        <v>289306</v>
      </c>
      <c r="E93" s="395">
        <v>104826</v>
      </c>
      <c r="F93" s="395"/>
      <c r="G93" s="395">
        <v>391060</v>
      </c>
      <c r="H93" s="395">
        <v>35845</v>
      </c>
      <c r="I93" s="395">
        <v>0</v>
      </c>
      <c r="J93" s="395">
        <v>821037</v>
      </c>
      <c r="K93" s="395">
        <v>109983</v>
      </c>
      <c r="L93" s="395">
        <v>74536</v>
      </c>
      <c r="M93" s="395"/>
      <c r="N93" s="395">
        <v>283655</v>
      </c>
      <c r="O93" s="395">
        <v>29687</v>
      </c>
      <c r="P93" s="395">
        <v>0</v>
      </c>
      <c r="Q93" s="395">
        <v>497861</v>
      </c>
      <c r="R93" s="395">
        <v>399289</v>
      </c>
      <c r="S93" s="395">
        <v>179362</v>
      </c>
      <c r="T93" s="395"/>
      <c r="U93" s="395">
        <v>674715</v>
      </c>
      <c r="V93" s="395">
        <v>65532</v>
      </c>
      <c r="W93" s="396">
        <v>0</v>
      </c>
      <c r="X93" s="395">
        <v>1318898</v>
      </c>
      <c r="Y93" s="397"/>
    </row>
    <row r="94" spans="2:25" s="63" customFormat="1" ht="12.75" x14ac:dyDescent="0.2">
      <c r="B94" s="325">
        <f t="shared" si="2"/>
        <v>2015</v>
      </c>
      <c r="C94" s="394">
        <v>42278</v>
      </c>
      <c r="D94" s="395">
        <v>289406</v>
      </c>
      <c r="E94" s="395">
        <v>104834</v>
      </c>
      <c r="F94" s="395"/>
      <c r="G94" s="395">
        <v>393767</v>
      </c>
      <c r="H94" s="395">
        <v>35726</v>
      </c>
      <c r="I94" s="395">
        <v>0</v>
      </c>
      <c r="J94" s="395">
        <v>823733</v>
      </c>
      <c r="K94" s="395">
        <v>109773</v>
      </c>
      <c r="L94" s="395">
        <v>74656</v>
      </c>
      <c r="M94" s="395"/>
      <c r="N94" s="395">
        <v>285404</v>
      </c>
      <c r="O94" s="395">
        <v>29631</v>
      </c>
      <c r="P94" s="395">
        <v>0</v>
      </c>
      <c r="Q94" s="395">
        <v>499464</v>
      </c>
      <c r="R94" s="395">
        <v>399179</v>
      </c>
      <c r="S94" s="395">
        <v>179490</v>
      </c>
      <c r="T94" s="395"/>
      <c r="U94" s="395">
        <v>679171</v>
      </c>
      <c r="V94" s="395">
        <v>65357</v>
      </c>
      <c r="W94" s="396">
        <v>0</v>
      </c>
      <c r="X94" s="395">
        <v>1323197</v>
      </c>
      <c r="Y94" s="397"/>
    </row>
    <row r="95" spans="2:25" s="63" customFormat="1" ht="12.75" x14ac:dyDescent="0.2">
      <c r="B95" s="325">
        <f t="shared" si="2"/>
        <v>2015</v>
      </c>
      <c r="C95" s="394">
        <v>42309</v>
      </c>
      <c r="D95" s="395">
        <v>289596</v>
      </c>
      <c r="E95" s="395">
        <v>104776</v>
      </c>
      <c r="F95" s="395"/>
      <c r="G95" s="395">
        <v>394851</v>
      </c>
      <c r="H95" s="395">
        <v>35684</v>
      </c>
      <c r="I95" s="395">
        <v>0</v>
      </c>
      <c r="J95" s="395">
        <v>824907</v>
      </c>
      <c r="K95" s="395">
        <v>109685</v>
      </c>
      <c r="L95" s="395">
        <v>74747</v>
      </c>
      <c r="M95" s="395"/>
      <c r="N95" s="395">
        <v>286695</v>
      </c>
      <c r="O95" s="395">
        <v>29591</v>
      </c>
      <c r="P95" s="395">
        <v>0</v>
      </c>
      <c r="Q95" s="395">
        <v>500718</v>
      </c>
      <c r="R95" s="395">
        <v>399281</v>
      </c>
      <c r="S95" s="395">
        <v>179523</v>
      </c>
      <c r="T95" s="395"/>
      <c r="U95" s="395">
        <v>681546</v>
      </c>
      <c r="V95" s="395">
        <v>65275</v>
      </c>
      <c r="W95" s="396">
        <v>0</v>
      </c>
      <c r="X95" s="395">
        <v>1325625</v>
      </c>
      <c r="Y95" s="397"/>
    </row>
    <row r="96" spans="2:25" s="63" customFormat="1" ht="12.75" x14ac:dyDescent="0.2">
      <c r="B96" s="325">
        <f t="shared" si="2"/>
        <v>2015</v>
      </c>
      <c r="C96" s="394">
        <v>42339</v>
      </c>
      <c r="D96" s="395">
        <v>289818</v>
      </c>
      <c r="E96" s="395">
        <v>104882</v>
      </c>
      <c r="F96" s="395"/>
      <c r="G96" s="395">
        <v>397672</v>
      </c>
      <c r="H96" s="395">
        <v>35597</v>
      </c>
      <c r="I96" s="395">
        <v>0</v>
      </c>
      <c r="J96" s="395">
        <v>827969</v>
      </c>
      <c r="K96" s="395">
        <v>109696</v>
      </c>
      <c r="L96" s="395">
        <v>74896</v>
      </c>
      <c r="M96" s="395"/>
      <c r="N96" s="395">
        <v>288817</v>
      </c>
      <c r="O96" s="395">
        <v>29530</v>
      </c>
      <c r="P96" s="395">
        <v>0</v>
      </c>
      <c r="Q96" s="395">
        <v>502939</v>
      </c>
      <c r="R96" s="395">
        <v>399514</v>
      </c>
      <c r="S96" s="395">
        <v>179778</v>
      </c>
      <c r="T96" s="395"/>
      <c r="U96" s="395">
        <v>686489</v>
      </c>
      <c r="V96" s="395">
        <v>65127</v>
      </c>
      <c r="W96" s="396">
        <v>0</v>
      </c>
      <c r="X96" s="395">
        <v>1330908</v>
      </c>
      <c r="Y96" s="397"/>
    </row>
    <row r="97" spans="2:25" s="63" customFormat="1" ht="12.75" x14ac:dyDescent="0.2">
      <c r="B97" s="325">
        <f t="shared" si="2"/>
        <v>2016</v>
      </c>
      <c r="C97" s="394">
        <v>42370</v>
      </c>
      <c r="D97" s="395">
        <v>289772</v>
      </c>
      <c r="E97" s="395">
        <v>104970</v>
      </c>
      <c r="F97" s="395"/>
      <c r="G97" s="395">
        <v>399583</v>
      </c>
      <c r="H97" s="395">
        <v>35653</v>
      </c>
      <c r="I97" s="395">
        <v>0</v>
      </c>
      <c r="J97" s="395">
        <v>829978</v>
      </c>
      <c r="K97" s="395">
        <v>109526</v>
      </c>
      <c r="L97" s="395">
        <v>74980</v>
      </c>
      <c r="M97" s="395"/>
      <c r="N97" s="395">
        <v>290198</v>
      </c>
      <c r="O97" s="395">
        <v>29617</v>
      </c>
      <c r="P97" s="395">
        <v>0</v>
      </c>
      <c r="Q97" s="395">
        <v>504321</v>
      </c>
      <c r="R97" s="395">
        <v>399298</v>
      </c>
      <c r="S97" s="395">
        <v>179950</v>
      </c>
      <c r="T97" s="395"/>
      <c r="U97" s="395">
        <v>689781</v>
      </c>
      <c r="V97" s="395">
        <v>65270</v>
      </c>
      <c r="W97" s="396">
        <v>0</v>
      </c>
      <c r="X97" s="395">
        <v>1334299</v>
      </c>
      <c r="Y97" s="397"/>
    </row>
    <row r="98" spans="2:25" s="63" customFormat="1" ht="12.75" x14ac:dyDescent="0.2">
      <c r="B98" s="325">
        <f t="shared" si="2"/>
        <v>2016</v>
      </c>
      <c r="C98" s="394">
        <v>42401</v>
      </c>
      <c r="D98" s="395">
        <v>290041</v>
      </c>
      <c r="E98" s="395">
        <v>105124</v>
      </c>
      <c r="F98" s="395"/>
      <c r="G98" s="395">
        <v>401765</v>
      </c>
      <c r="H98" s="395">
        <v>35604</v>
      </c>
      <c r="I98" s="395">
        <v>0</v>
      </c>
      <c r="J98" s="395">
        <v>832534</v>
      </c>
      <c r="K98" s="395">
        <v>109494</v>
      </c>
      <c r="L98" s="395">
        <v>75133</v>
      </c>
      <c r="M98" s="395"/>
      <c r="N98" s="395">
        <v>291345</v>
      </c>
      <c r="O98" s="395">
        <v>29599</v>
      </c>
      <c r="P98" s="395">
        <v>0</v>
      </c>
      <c r="Q98" s="395">
        <v>505571</v>
      </c>
      <c r="R98" s="395">
        <v>399535</v>
      </c>
      <c r="S98" s="395">
        <v>180257</v>
      </c>
      <c r="T98" s="395"/>
      <c r="U98" s="395">
        <v>693110</v>
      </c>
      <c r="V98" s="395">
        <v>65203</v>
      </c>
      <c r="W98" s="396">
        <v>0</v>
      </c>
      <c r="X98" s="395">
        <v>1338105</v>
      </c>
      <c r="Y98" s="397"/>
    </row>
    <row r="99" spans="2:25" s="63" customFormat="1" ht="12.75" x14ac:dyDescent="0.2">
      <c r="B99" s="325">
        <f t="shared" si="2"/>
        <v>2016</v>
      </c>
      <c r="C99" s="394">
        <v>42430</v>
      </c>
      <c r="D99" s="395">
        <v>289522</v>
      </c>
      <c r="E99" s="395">
        <v>105070</v>
      </c>
      <c r="F99" s="395"/>
      <c r="G99" s="395">
        <v>402760</v>
      </c>
      <c r="H99" s="395">
        <v>35532</v>
      </c>
      <c r="I99" s="395">
        <v>0</v>
      </c>
      <c r="J99" s="395">
        <v>832884</v>
      </c>
      <c r="K99" s="395">
        <v>109195</v>
      </c>
      <c r="L99" s="395">
        <v>74986</v>
      </c>
      <c r="M99" s="395"/>
      <c r="N99" s="395">
        <v>292122</v>
      </c>
      <c r="O99" s="395">
        <v>29505</v>
      </c>
      <c r="P99" s="395">
        <v>0</v>
      </c>
      <c r="Q99" s="395">
        <v>505808</v>
      </c>
      <c r="R99" s="395">
        <v>398717</v>
      </c>
      <c r="S99" s="395">
        <v>180056</v>
      </c>
      <c r="T99" s="395"/>
      <c r="U99" s="395">
        <v>694882</v>
      </c>
      <c r="V99" s="395">
        <v>65037</v>
      </c>
      <c r="W99" s="396">
        <v>0</v>
      </c>
      <c r="X99" s="395">
        <v>1338692</v>
      </c>
      <c r="Y99" s="397"/>
    </row>
    <row r="100" spans="2:25" s="63" customFormat="1" ht="12.75" x14ac:dyDescent="0.2">
      <c r="B100" s="325">
        <f t="shared" si="2"/>
        <v>2016</v>
      </c>
      <c r="C100" s="394">
        <v>42461</v>
      </c>
      <c r="D100" s="395">
        <v>290006</v>
      </c>
      <c r="E100" s="395">
        <v>105346</v>
      </c>
      <c r="F100" s="395"/>
      <c r="G100" s="395">
        <v>405007</v>
      </c>
      <c r="H100" s="395">
        <v>35542</v>
      </c>
      <c r="I100" s="395">
        <v>0</v>
      </c>
      <c r="J100" s="395">
        <v>835901</v>
      </c>
      <c r="K100" s="395">
        <v>109202</v>
      </c>
      <c r="L100" s="395">
        <v>75254</v>
      </c>
      <c r="M100" s="395"/>
      <c r="N100" s="395">
        <v>293491</v>
      </c>
      <c r="O100" s="395">
        <v>29521</v>
      </c>
      <c r="P100" s="395">
        <v>0</v>
      </c>
      <c r="Q100" s="395">
        <v>507468</v>
      </c>
      <c r="R100" s="395">
        <v>399208</v>
      </c>
      <c r="S100" s="395">
        <v>180600</v>
      </c>
      <c r="T100" s="395"/>
      <c r="U100" s="395">
        <v>698498</v>
      </c>
      <c r="V100" s="395">
        <v>65063</v>
      </c>
      <c r="W100" s="396">
        <v>0</v>
      </c>
      <c r="X100" s="395">
        <v>1343369</v>
      </c>
      <c r="Y100" s="397"/>
    </row>
    <row r="101" spans="2:25" s="63" customFormat="1" ht="12.75" x14ac:dyDescent="0.2">
      <c r="B101" s="325">
        <f t="shared" si="2"/>
        <v>2016</v>
      </c>
      <c r="C101" s="394">
        <v>42491</v>
      </c>
      <c r="D101" s="395">
        <v>290387</v>
      </c>
      <c r="E101" s="395">
        <v>105384</v>
      </c>
      <c r="F101" s="395"/>
      <c r="G101" s="395">
        <v>407494</v>
      </c>
      <c r="H101" s="395">
        <v>35521</v>
      </c>
      <c r="I101" s="395">
        <v>0</v>
      </c>
      <c r="J101" s="395">
        <v>838786</v>
      </c>
      <c r="K101" s="395">
        <v>109075</v>
      </c>
      <c r="L101" s="395">
        <v>75437</v>
      </c>
      <c r="M101" s="395"/>
      <c r="N101" s="395">
        <v>295268</v>
      </c>
      <c r="O101" s="395">
        <v>29498</v>
      </c>
      <c r="P101" s="395">
        <v>0</v>
      </c>
      <c r="Q101" s="395">
        <v>509278</v>
      </c>
      <c r="R101" s="395">
        <v>399462</v>
      </c>
      <c r="S101" s="395">
        <v>180821</v>
      </c>
      <c r="T101" s="395"/>
      <c r="U101" s="395">
        <v>702762</v>
      </c>
      <c r="V101" s="395">
        <v>65019</v>
      </c>
      <c r="W101" s="396">
        <v>0</v>
      </c>
      <c r="X101" s="395">
        <v>1348064</v>
      </c>
      <c r="Y101" s="397"/>
    </row>
    <row r="102" spans="2:25" s="63" customFormat="1" ht="12.75" x14ac:dyDescent="0.2">
      <c r="B102" s="325">
        <f t="shared" si="2"/>
        <v>2016</v>
      </c>
      <c r="C102" s="394">
        <v>42522</v>
      </c>
      <c r="D102" s="395">
        <v>290710</v>
      </c>
      <c r="E102" s="395">
        <v>105613</v>
      </c>
      <c r="F102" s="395"/>
      <c r="G102" s="395">
        <v>409023</v>
      </c>
      <c r="H102" s="395">
        <v>35515</v>
      </c>
      <c r="I102" s="395">
        <v>0</v>
      </c>
      <c r="J102" s="395">
        <v>840861</v>
      </c>
      <c r="K102" s="395">
        <v>109011</v>
      </c>
      <c r="L102" s="395">
        <v>75584</v>
      </c>
      <c r="M102" s="395"/>
      <c r="N102" s="395">
        <v>296574</v>
      </c>
      <c r="O102" s="395">
        <v>29478</v>
      </c>
      <c r="P102" s="395">
        <v>0</v>
      </c>
      <c r="Q102" s="395">
        <v>510647</v>
      </c>
      <c r="R102" s="395">
        <v>399721</v>
      </c>
      <c r="S102" s="395">
        <v>181197</v>
      </c>
      <c r="T102" s="395"/>
      <c r="U102" s="395">
        <v>705597</v>
      </c>
      <c r="V102" s="395">
        <v>64993</v>
      </c>
      <c r="W102" s="396">
        <v>0</v>
      </c>
      <c r="X102" s="395">
        <v>1351508</v>
      </c>
      <c r="Y102" s="397"/>
    </row>
    <row r="103" spans="2:25" s="63" customFormat="1" ht="12.75" x14ac:dyDescent="0.2">
      <c r="B103" s="325">
        <f t="shared" si="2"/>
        <v>2016</v>
      </c>
      <c r="C103" s="394">
        <v>42552</v>
      </c>
      <c r="D103" s="395">
        <v>290754</v>
      </c>
      <c r="E103" s="395">
        <v>105761</v>
      </c>
      <c r="F103" s="395"/>
      <c r="G103" s="395">
        <v>409755</v>
      </c>
      <c r="H103" s="395">
        <v>35484</v>
      </c>
      <c r="I103" s="395">
        <v>0</v>
      </c>
      <c r="J103" s="395">
        <v>841754</v>
      </c>
      <c r="K103" s="395">
        <v>108892</v>
      </c>
      <c r="L103" s="395">
        <v>75723</v>
      </c>
      <c r="M103" s="395"/>
      <c r="N103" s="395">
        <v>298366</v>
      </c>
      <c r="O103" s="395">
        <v>29434</v>
      </c>
      <c r="P103" s="395">
        <v>0</v>
      </c>
      <c r="Q103" s="395">
        <v>512415</v>
      </c>
      <c r="R103" s="395">
        <v>399646</v>
      </c>
      <c r="S103" s="395">
        <v>181484</v>
      </c>
      <c r="T103" s="395"/>
      <c r="U103" s="395">
        <v>708121</v>
      </c>
      <c r="V103" s="395">
        <v>64918</v>
      </c>
      <c r="W103" s="396">
        <v>0</v>
      </c>
      <c r="X103" s="395">
        <v>1354169</v>
      </c>
      <c r="Y103" s="397"/>
    </row>
    <row r="104" spans="2:25" s="63" customFormat="1" ht="12.75" x14ac:dyDescent="0.2">
      <c r="B104" s="325">
        <f t="shared" si="2"/>
        <v>2016</v>
      </c>
      <c r="C104" s="394">
        <v>42583</v>
      </c>
      <c r="D104" s="395">
        <v>290722</v>
      </c>
      <c r="E104" s="395">
        <v>105741</v>
      </c>
      <c r="F104" s="395"/>
      <c r="G104" s="395">
        <v>411971</v>
      </c>
      <c r="H104" s="395">
        <v>35469</v>
      </c>
      <c r="I104" s="395">
        <v>0</v>
      </c>
      <c r="J104" s="395">
        <v>843903</v>
      </c>
      <c r="K104" s="395">
        <v>108727</v>
      </c>
      <c r="L104" s="395">
        <v>75743</v>
      </c>
      <c r="M104" s="395"/>
      <c r="N104" s="395">
        <v>299699</v>
      </c>
      <c r="O104" s="395">
        <v>29404</v>
      </c>
      <c r="P104" s="395">
        <v>0</v>
      </c>
      <c r="Q104" s="395">
        <v>513573</v>
      </c>
      <c r="R104" s="395">
        <v>399449</v>
      </c>
      <c r="S104" s="395">
        <v>181484</v>
      </c>
      <c r="T104" s="395"/>
      <c r="U104" s="395">
        <v>711670</v>
      </c>
      <c r="V104" s="395">
        <v>64873</v>
      </c>
      <c r="W104" s="396">
        <v>0</v>
      </c>
      <c r="X104" s="395">
        <v>1357476</v>
      </c>
      <c r="Y104" s="397"/>
    </row>
    <row r="105" spans="2:25" s="63" customFormat="1" ht="12.75" x14ac:dyDescent="0.2">
      <c r="B105" s="325">
        <f t="shared" si="2"/>
        <v>2016</v>
      </c>
      <c r="C105" s="394">
        <v>42614</v>
      </c>
      <c r="D105" s="395">
        <v>290590</v>
      </c>
      <c r="E105" s="395">
        <v>105661</v>
      </c>
      <c r="F105" s="395"/>
      <c r="G105" s="395">
        <v>413826</v>
      </c>
      <c r="H105" s="395">
        <v>35378</v>
      </c>
      <c r="I105" s="395">
        <v>0</v>
      </c>
      <c r="J105" s="395">
        <v>845455</v>
      </c>
      <c r="K105" s="395">
        <v>108480</v>
      </c>
      <c r="L105" s="395">
        <v>75770</v>
      </c>
      <c r="M105" s="395"/>
      <c r="N105" s="395">
        <v>300890</v>
      </c>
      <c r="O105" s="395">
        <v>29305</v>
      </c>
      <c r="P105" s="395">
        <v>0</v>
      </c>
      <c r="Q105" s="395">
        <v>514445</v>
      </c>
      <c r="R105" s="395">
        <v>399070</v>
      </c>
      <c r="S105" s="395">
        <v>181431</v>
      </c>
      <c r="T105" s="395"/>
      <c r="U105" s="395">
        <v>714716</v>
      </c>
      <c r="V105" s="395">
        <v>64683</v>
      </c>
      <c r="W105" s="396">
        <v>0</v>
      </c>
      <c r="X105" s="395">
        <v>1359900</v>
      </c>
      <c r="Y105" s="397"/>
    </row>
    <row r="106" spans="2:25" s="63" customFormat="1" ht="12.75" x14ac:dyDescent="0.2">
      <c r="B106" s="325">
        <f t="shared" si="2"/>
        <v>2016</v>
      </c>
      <c r="C106" s="394">
        <v>42644</v>
      </c>
      <c r="D106" s="395">
        <v>290392</v>
      </c>
      <c r="E106" s="395">
        <v>105680</v>
      </c>
      <c r="F106" s="395"/>
      <c r="G106" s="395">
        <v>415563</v>
      </c>
      <c r="H106" s="395">
        <v>35331</v>
      </c>
      <c r="I106" s="395">
        <v>0</v>
      </c>
      <c r="J106" s="395">
        <v>846966</v>
      </c>
      <c r="K106" s="395">
        <v>108234</v>
      </c>
      <c r="L106" s="395">
        <v>75906</v>
      </c>
      <c r="M106" s="395"/>
      <c r="N106" s="395">
        <v>302315</v>
      </c>
      <c r="O106" s="395">
        <v>29264</v>
      </c>
      <c r="P106" s="395">
        <v>0</v>
      </c>
      <c r="Q106" s="395">
        <v>515719</v>
      </c>
      <c r="R106" s="395">
        <v>398626</v>
      </c>
      <c r="S106" s="395">
        <v>181586</v>
      </c>
      <c r="T106" s="395"/>
      <c r="U106" s="395">
        <v>717878</v>
      </c>
      <c r="V106" s="395">
        <v>64595</v>
      </c>
      <c r="W106" s="396">
        <v>0</v>
      </c>
      <c r="X106" s="395">
        <v>1362685</v>
      </c>
      <c r="Y106" s="397"/>
    </row>
    <row r="107" spans="2:25" s="63" customFormat="1" ht="12.75" x14ac:dyDescent="0.2">
      <c r="B107" s="325">
        <f t="shared" si="2"/>
        <v>2016</v>
      </c>
      <c r="C107" s="394">
        <v>42675</v>
      </c>
      <c r="D107" s="395">
        <v>290974</v>
      </c>
      <c r="E107" s="395">
        <v>105692</v>
      </c>
      <c r="F107" s="395"/>
      <c r="G107" s="395">
        <v>418973</v>
      </c>
      <c r="H107" s="395">
        <v>35297</v>
      </c>
      <c r="I107" s="395">
        <v>0</v>
      </c>
      <c r="J107" s="395">
        <v>850936</v>
      </c>
      <c r="K107" s="395">
        <v>108240</v>
      </c>
      <c r="L107" s="395">
        <v>76030</v>
      </c>
      <c r="M107" s="395"/>
      <c r="N107" s="395">
        <v>304146</v>
      </c>
      <c r="O107" s="395">
        <v>29235</v>
      </c>
      <c r="P107" s="395">
        <v>0</v>
      </c>
      <c r="Q107" s="395">
        <v>517651</v>
      </c>
      <c r="R107" s="395">
        <v>399214</v>
      </c>
      <c r="S107" s="395">
        <v>181722</v>
      </c>
      <c r="T107" s="395"/>
      <c r="U107" s="395">
        <v>723119</v>
      </c>
      <c r="V107" s="395">
        <v>64532</v>
      </c>
      <c r="W107" s="396">
        <v>0</v>
      </c>
      <c r="X107" s="395">
        <v>1368587</v>
      </c>
      <c r="Y107" s="397"/>
    </row>
    <row r="108" spans="2:25" s="63" customFormat="1" ht="12.75" x14ac:dyDescent="0.2">
      <c r="B108" s="325">
        <f t="shared" si="2"/>
        <v>2016</v>
      </c>
      <c r="C108" s="394">
        <v>42705</v>
      </c>
      <c r="D108" s="395">
        <v>290606</v>
      </c>
      <c r="E108" s="395">
        <v>105476</v>
      </c>
      <c r="F108" s="395"/>
      <c r="G108" s="395">
        <v>420635</v>
      </c>
      <c r="H108" s="395">
        <v>35407</v>
      </c>
      <c r="I108" s="395">
        <v>0</v>
      </c>
      <c r="J108" s="395">
        <v>852124</v>
      </c>
      <c r="K108" s="395">
        <v>108045</v>
      </c>
      <c r="L108" s="395">
        <v>75845</v>
      </c>
      <c r="M108" s="395"/>
      <c r="N108" s="395">
        <v>305119</v>
      </c>
      <c r="O108" s="395">
        <v>29476</v>
      </c>
      <c r="P108" s="395">
        <v>0</v>
      </c>
      <c r="Q108" s="395">
        <v>518485</v>
      </c>
      <c r="R108" s="395">
        <v>398651</v>
      </c>
      <c r="S108" s="395">
        <v>181321</v>
      </c>
      <c r="T108" s="395"/>
      <c r="U108" s="395">
        <v>725754</v>
      </c>
      <c r="V108" s="395">
        <v>64883</v>
      </c>
      <c r="W108" s="396">
        <v>0</v>
      </c>
      <c r="X108" s="395">
        <v>1370609</v>
      </c>
      <c r="Y108" s="397"/>
    </row>
    <row r="109" spans="2:25" s="63" customFormat="1" ht="12.75" x14ac:dyDescent="0.2">
      <c r="B109" s="325">
        <f t="shared" si="2"/>
        <v>2017</v>
      </c>
      <c r="C109" s="394">
        <v>42736</v>
      </c>
      <c r="D109" s="395">
        <v>291095</v>
      </c>
      <c r="E109" s="395">
        <v>105535</v>
      </c>
      <c r="F109" s="395"/>
      <c r="G109" s="395">
        <v>422492</v>
      </c>
      <c r="H109" s="395">
        <v>35386</v>
      </c>
      <c r="I109" s="395">
        <v>0</v>
      </c>
      <c r="J109" s="395">
        <v>854508</v>
      </c>
      <c r="K109" s="395">
        <v>108041</v>
      </c>
      <c r="L109" s="395">
        <v>75921</v>
      </c>
      <c r="M109" s="395"/>
      <c r="N109" s="395">
        <v>306164</v>
      </c>
      <c r="O109" s="395">
        <v>29465</v>
      </c>
      <c r="P109" s="395">
        <v>0</v>
      </c>
      <c r="Q109" s="395">
        <v>519591</v>
      </c>
      <c r="R109" s="395">
        <v>399136</v>
      </c>
      <c r="S109" s="395">
        <v>181456</v>
      </c>
      <c r="T109" s="395"/>
      <c r="U109" s="395">
        <v>728656</v>
      </c>
      <c r="V109" s="395">
        <v>64851</v>
      </c>
      <c r="W109" s="396">
        <v>0</v>
      </c>
      <c r="X109" s="395">
        <v>1374099</v>
      </c>
      <c r="Y109" s="397"/>
    </row>
    <row r="110" spans="2:25" s="63" customFormat="1" ht="12.75" x14ac:dyDescent="0.2">
      <c r="B110" s="325">
        <f t="shared" si="2"/>
        <v>2017</v>
      </c>
      <c r="C110" s="394">
        <v>42767</v>
      </c>
      <c r="D110" s="395">
        <v>291502</v>
      </c>
      <c r="E110" s="395">
        <v>105511</v>
      </c>
      <c r="F110" s="395"/>
      <c r="G110" s="395">
        <v>424127</v>
      </c>
      <c r="H110" s="395">
        <v>35320</v>
      </c>
      <c r="I110" s="395">
        <v>0</v>
      </c>
      <c r="J110" s="395">
        <v>856460</v>
      </c>
      <c r="K110" s="395">
        <v>108057</v>
      </c>
      <c r="L110" s="395">
        <v>75979</v>
      </c>
      <c r="M110" s="395"/>
      <c r="N110" s="395">
        <v>306699</v>
      </c>
      <c r="O110" s="395">
        <v>29378</v>
      </c>
      <c r="P110" s="395">
        <v>0</v>
      </c>
      <c r="Q110" s="395">
        <v>520113</v>
      </c>
      <c r="R110" s="395">
        <v>399559</v>
      </c>
      <c r="S110" s="395">
        <v>181490</v>
      </c>
      <c r="T110" s="395"/>
      <c r="U110" s="395">
        <v>730826</v>
      </c>
      <c r="V110" s="395">
        <v>64698</v>
      </c>
      <c r="W110" s="396">
        <v>0</v>
      </c>
      <c r="X110" s="395">
        <v>1376573</v>
      </c>
      <c r="Y110" s="397"/>
    </row>
    <row r="111" spans="2:25" s="63" customFormat="1" ht="12.75" x14ac:dyDescent="0.2">
      <c r="B111" s="325">
        <f t="shared" si="2"/>
        <v>2017</v>
      </c>
      <c r="C111" s="394">
        <v>42795</v>
      </c>
      <c r="D111" s="395">
        <v>291371</v>
      </c>
      <c r="E111" s="395">
        <v>105627</v>
      </c>
      <c r="F111" s="395"/>
      <c r="G111" s="395">
        <v>424388</v>
      </c>
      <c r="H111" s="395">
        <v>35219</v>
      </c>
      <c r="I111" s="395">
        <v>0</v>
      </c>
      <c r="J111" s="395">
        <v>856605</v>
      </c>
      <c r="K111" s="395">
        <v>107931</v>
      </c>
      <c r="L111" s="395">
        <v>76113</v>
      </c>
      <c r="M111" s="395"/>
      <c r="N111" s="395">
        <v>308300</v>
      </c>
      <c r="O111" s="395">
        <v>29336</v>
      </c>
      <c r="P111" s="395">
        <v>0</v>
      </c>
      <c r="Q111" s="395">
        <v>521680</v>
      </c>
      <c r="R111" s="395">
        <v>399302</v>
      </c>
      <c r="S111" s="395">
        <v>181740</v>
      </c>
      <c r="T111" s="395"/>
      <c r="U111" s="395">
        <v>732688</v>
      </c>
      <c r="V111" s="395">
        <v>64555</v>
      </c>
      <c r="W111" s="396">
        <v>0</v>
      </c>
      <c r="X111" s="395">
        <v>1378285</v>
      </c>
      <c r="Y111" s="397"/>
    </row>
    <row r="112" spans="2:25" s="63" customFormat="1" ht="12.75" x14ac:dyDescent="0.2">
      <c r="B112" s="325">
        <f t="shared" si="2"/>
        <v>2017</v>
      </c>
      <c r="C112" s="394">
        <v>42826</v>
      </c>
      <c r="D112" s="395">
        <v>291764</v>
      </c>
      <c r="E112" s="395">
        <v>105610</v>
      </c>
      <c r="F112" s="395"/>
      <c r="G112" s="395">
        <v>427169</v>
      </c>
      <c r="H112" s="395">
        <v>35233</v>
      </c>
      <c r="I112" s="395">
        <v>0</v>
      </c>
      <c r="J112" s="395">
        <v>859776</v>
      </c>
      <c r="K112" s="395">
        <v>108038</v>
      </c>
      <c r="L112" s="395">
        <v>76247</v>
      </c>
      <c r="M112" s="395"/>
      <c r="N112" s="395">
        <v>310215</v>
      </c>
      <c r="O112" s="395">
        <v>29366</v>
      </c>
      <c r="P112" s="395">
        <v>0</v>
      </c>
      <c r="Q112" s="395">
        <v>523866</v>
      </c>
      <c r="R112" s="395">
        <v>399802</v>
      </c>
      <c r="S112" s="395">
        <v>181857</v>
      </c>
      <c r="T112" s="395"/>
      <c r="U112" s="395">
        <v>737384</v>
      </c>
      <c r="V112" s="395">
        <v>64599</v>
      </c>
      <c r="W112" s="396">
        <v>0</v>
      </c>
      <c r="X112" s="395">
        <v>1383642</v>
      </c>
      <c r="Y112" s="397"/>
    </row>
    <row r="113" spans="2:25" s="63" customFormat="1" ht="12.75" x14ac:dyDescent="0.2">
      <c r="B113" s="325">
        <f t="shared" si="2"/>
        <v>2017</v>
      </c>
      <c r="C113" s="394">
        <v>42856</v>
      </c>
      <c r="D113" s="395">
        <v>292373</v>
      </c>
      <c r="E113" s="395">
        <v>105793</v>
      </c>
      <c r="F113" s="395"/>
      <c r="G113" s="395">
        <v>429990</v>
      </c>
      <c r="H113" s="395">
        <v>35231</v>
      </c>
      <c r="I113" s="395">
        <v>0</v>
      </c>
      <c r="J113" s="395">
        <v>863387</v>
      </c>
      <c r="K113" s="395">
        <v>108173</v>
      </c>
      <c r="L113" s="395">
        <v>76469</v>
      </c>
      <c r="M113" s="395"/>
      <c r="N113" s="395">
        <v>312104</v>
      </c>
      <c r="O113" s="395">
        <v>29372</v>
      </c>
      <c r="P113" s="395">
        <v>0</v>
      </c>
      <c r="Q113" s="395">
        <v>526118</v>
      </c>
      <c r="R113" s="395">
        <v>400546</v>
      </c>
      <c r="S113" s="395">
        <v>182262</v>
      </c>
      <c r="T113" s="395"/>
      <c r="U113" s="395">
        <v>742094</v>
      </c>
      <c r="V113" s="395">
        <v>64603</v>
      </c>
      <c r="W113" s="396">
        <v>0</v>
      </c>
      <c r="X113" s="395">
        <v>1389505</v>
      </c>
      <c r="Y113" s="397"/>
    </row>
    <row r="114" spans="2:25" s="63" customFormat="1" ht="12.75" x14ac:dyDescent="0.2">
      <c r="B114" s="325">
        <f t="shared" si="2"/>
        <v>2017</v>
      </c>
      <c r="C114" s="394">
        <v>42887</v>
      </c>
      <c r="D114" s="395">
        <v>291766</v>
      </c>
      <c r="E114" s="395">
        <v>105559</v>
      </c>
      <c r="F114" s="395"/>
      <c r="G114" s="395">
        <v>432504</v>
      </c>
      <c r="H114" s="395">
        <v>35330</v>
      </c>
      <c r="I114" s="395">
        <v>0</v>
      </c>
      <c r="J114" s="395">
        <v>865159</v>
      </c>
      <c r="K114" s="395">
        <v>107911</v>
      </c>
      <c r="L114" s="395">
        <v>76366</v>
      </c>
      <c r="M114" s="395"/>
      <c r="N114" s="395">
        <v>313616</v>
      </c>
      <c r="O114" s="395">
        <v>29496</v>
      </c>
      <c r="P114" s="395">
        <v>0</v>
      </c>
      <c r="Q114" s="395">
        <v>527389</v>
      </c>
      <c r="R114" s="395">
        <v>399677</v>
      </c>
      <c r="S114" s="395">
        <v>181925</v>
      </c>
      <c r="T114" s="395"/>
      <c r="U114" s="395">
        <v>746120</v>
      </c>
      <c r="V114" s="395">
        <v>64826</v>
      </c>
      <c r="W114" s="396">
        <v>0</v>
      </c>
      <c r="X114" s="395">
        <v>1392548</v>
      </c>
      <c r="Y114" s="397"/>
    </row>
    <row r="115" spans="2:25" s="63" customFormat="1" ht="12.75" x14ac:dyDescent="0.2">
      <c r="B115" s="325">
        <f t="shared" si="2"/>
        <v>2017</v>
      </c>
      <c r="C115" s="394">
        <v>42917</v>
      </c>
      <c r="D115" s="395">
        <v>291786</v>
      </c>
      <c r="E115" s="395">
        <v>105652</v>
      </c>
      <c r="F115" s="395"/>
      <c r="G115" s="395">
        <v>434836</v>
      </c>
      <c r="H115" s="395">
        <v>35288</v>
      </c>
      <c r="I115" s="395">
        <v>0</v>
      </c>
      <c r="J115" s="395">
        <v>867562</v>
      </c>
      <c r="K115" s="395">
        <v>107824</v>
      </c>
      <c r="L115" s="395">
        <v>76509</v>
      </c>
      <c r="M115" s="395"/>
      <c r="N115" s="395">
        <v>316011</v>
      </c>
      <c r="O115" s="395">
        <v>29485</v>
      </c>
      <c r="P115" s="395">
        <v>0</v>
      </c>
      <c r="Q115" s="395">
        <v>529829</v>
      </c>
      <c r="R115" s="395">
        <v>399610</v>
      </c>
      <c r="S115" s="395">
        <v>182161</v>
      </c>
      <c r="T115" s="395"/>
      <c r="U115" s="395">
        <v>750847</v>
      </c>
      <c r="V115" s="395">
        <v>64773</v>
      </c>
      <c r="W115" s="396">
        <v>0</v>
      </c>
      <c r="X115" s="395">
        <v>1397391</v>
      </c>
      <c r="Y115" s="397"/>
    </row>
    <row r="116" spans="2:25" s="63" customFormat="1" ht="12.75" x14ac:dyDescent="0.2">
      <c r="B116" s="325">
        <f t="shared" si="2"/>
        <v>2017</v>
      </c>
      <c r="C116" s="394">
        <v>42948</v>
      </c>
      <c r="D116" s="395">
        <v>291749</v>
      </c>
      <c r="E116" s="395">
        <v>105661</v>
      </c>
      <c r="F116" s="395"/>
      <c r="G116" s="395">
        <v>436895</v>
      </c>
      <c r="H116" s="395">
        <v>35290</v>
      </c>
      <c r="I116" s="395">
        <v>0</v>
      </c>
      <c r="J116" s="395">
        <v>869595</v>
      </c>
      <c r="K116" s="395">
        <v>107568</v>
      </c>
      <c r="L116" s="395">
        <v>76579</v>
      </c>
      <c r="M116" s="395"/>
      <c r="N116" s="395">
        <v>317865</v>
      </c>
      <c r="O116" s="395">
        <v>29535</v>
      </c>
      <c r="P116" s="395">
        <v>0</v>
      </c>
      <c r="Q116" s="395">
        <v>531547</v>
      </c>
      <c r="R116" s="395">
        <v>399317</v>
      </c>
      <c r="S116" s="395">
        <v>182240</v>
      </c>
      <c r="T116" s="395"/>
      <c r="U116" s="395">
        <v>754760</v>
      </c>
      <c r="V116" s="395">
        <v>64825</v>
      </c>
      <c r="W116" s="396">
        <v>0</v>
      </c>
      <c r="X116" s="395">
        <v>1401142</v>
      </c>
      <c r="Y116" s="397"/>
    </row>
    <row r="117" spans="2:25" s="63" customFormat="1" ht="12.75" x14ac:dyDescent="0.2">
      <c r="B117" s="325">
        <f t="shared" si="2"/>
        <v>2017</v>
      </c>
      <c r="C117" s="394">
        <v>42979</v>
      </c>
      <c r="D117" s="395">
        <v>291749</v>
      </c>
      <c r="E117" s="395">
        <v>105608</v>
      </c>
      <c r="F117" s="395"/>
      <c r="G117" s="395">
        <v>439139</v>
      </c>
      <c r="H117" s="395">
        <v>35214</v>
      </c>
      <c r="I117" s="395">
        <v>0</v>
      </c>
      <c r="J117" s="395">
        <v>871710</v>
      </c>
      <c r="K117" s="395">
        <v>107329</v>
      </c>
      <c r="L117" s="395">
        <v>76689</v>
      </c>
      <c r="M117" s="395"/>
      <c r="N117" s="395">
        <v>319533</v>
      </c>
      <c r="O117" s="395">
        <v>29509</v>
      </c>
      <c r="P117" s="395">
        <v>0</v>
      </c>
      <c r="Q117" s="395">
        <v>533060</v>
      </c>
      <c r="R117" s="395">
        <v>399078</v>
      </c>
      <c r="S117" s="395">
        <v>182297</v>
      </c>
      <c r="T117" s="395"/>
      <c r="U117" s="395">
        <v>758672</v>
      </c>
      <c r="V117" s="395">
        <v>64723</v>
      </c>
      <c r="W117" s="396">
        <v>0</v>
      </c>
      <c r="X117" s="395">
        <v>1404770</v>
      </c>
      <c r="Y117" s="397"/>
    </row>
    <row r="118" spans="2:25" s="63" customFormat="1" ht="12.75" x14ac:dyDescent="0.2">
      <c r="B118" s="325">
        <f t="shared" si="2"/>
        <v>2017</v>
      </c>
      <c r="C118" s="394">
        <v>43009</v>
      </c>
      <c r="D118" s="395">
        <v>291575</v>
      </c>
      <c r="E118" s="395">
        <v>105489</v>
      </c>
      <c r="F118" s="395"/>
      <c r="G118" s="395">
        <v>442652</v>
      </c>
      <c r="H118" s="395">
        <v>35178</v>
      </c>
      <c r="I118" s="395">
        <v>0</v>
      </c>
      <c r="J118" s="395">
        <v>874894</v>
      </c>
      <c r="K118" s="395">
        <v>107184</v>
      </c>
      <c r="L118" s="395">
        <v>76751</v>
      </c>
      <c r="M118" s="395"/>
      <c r="N118" s="395">
        <v>321666</v>
      </c>
      <c r="O118" s="395">
        <v>29486</v>
      </c>
      <c r="P118" s="395">
        <v>0</v>
      </c>
      <c r="Q118" s="395">
        <v>535087</v>
      </c>
      <c r="R118" s="395">
        <v>398759</v>
      </c>
      <c r="S118" s="395">
        <v>182240</v>
      </c>
      <c r="T118" s="395"/>
      <c r="U118" s="395">
        <v>764318</v>
      </c>
      <c r="V118" s="395">
        <v>64664</v>
      </c>
      <c r="W118" s="396">
        <v>0</v>
      </c>
      <c r="X118" s="395">
        <v>1409981</v>
      </c>
      <c r="Y118" s="397"/>
    </row>
    <row r="119" spans="2:25" s="63" customFormat="1" ht="12.75" x14ac:dyDescent="0.2">
      <c r="B119" s="325">
        <f t="shared" si="2"/>
        <v>2017</v>
      </c>
      <c r="C119" s="394">
        <v>43040</v>
      </c>
      <c r="D119" s="395">
        <v>291941</v>
      </c>
      <c r="E119" s="395">
        <v>105467</v>
      </c>
      <c r="F119" s="395"/>
      <c r="G119" s="395">
        <v>445509</v>
      </c>
      <c r="H119" s="395">
        <v>35101</v>
      </c>
      <c r="I119" s="395">
        <v>0</v>
      </c>
      <c r="J119" s="395">
        <v>878018</v>
      </c>
      <c r="K119" s="395">
        <v>107149</v>
      </c>
      <c r="L119" s="395">
        <v>76753</v>
      </c>
      <c r="M119" s="395"/>
      <c r="N119" s="395">
        <v>323597</v>
      </c>
      <c r="O119" s="395">
        <v>29463</v>
      </c>
      <c r="P119" s="395">
        <v>0</v>
      </c>
      <c r="Q119" s="395">
        <v>536962</v>
      </c>
      <c r="R119" s="395">
        <v>399090</v>
      </c>
      <c r="S119" s="395">
        <v>182220</v>
      </c>
      <c r="T119" s="395"/>
      <c r="U119" s="395">
        <v>769106</v>
      </c>
      <c r="V119" s="395">
        <v>64564</v>
      </c>
      <c r="W119" s="396">
        <v>0</v>
      </c>
      <c r="X119" s="395">
        <v>1414980</v>
      </c>
      <c r="Y119" s="397"/>
    </row>
    <row r="120" spans="2:25" s="63" customFormat="1" ht="12.75" x14ac:dyDescent="0.2">
      <c r="B120" s="325">
        <f t="shared" si="2"/>
        <v>2017</v>
      </c>
      <c r="C120" s="394">
        <v>43070</v>
      </c>
      <c r="D120" s="395">
        <v>292377</v>
      </c>
      <c r="E120" s="395">
        <v>105470</v>
      </c>
      <c r="F120" s="395"/>
      <c r="G120" s="395">
        <v>448472</v>
      </c>
      <c r="H120" s="395">
        <v>35047</v>
      </c>
      <c r="I120" s="395">
        <v>0</v>
      </c>
      <c r="J120" s="395">
        <v>881366</v>
      </c>
      <c r="K120" s="395">
        <v>107133</v>
      </c>
      <c r="L120" s="395">
        <v>76834</v>
      </c>
      <c r="M120" s="395"/>
      <c r="N120" s="395">
        <v>325611</v>
      </c>
      <c r="O120" s="395">
        <v>29394</v>
      </c>
      <c r="P120" s="395">
        <v>0</v>
      </c>
      <c r="Q120" s="395">
        <v>538972</v>
      </c>
      <c r="R120" s="395">
        <v>399510</v>
      </c>
      <c r="S120" s="395">
        <v>182304</v>
      </c>
      <c r="T120" s="395"/>
      <c r="U120" s="395">
        <v>774083</v>
      </c>
      <c r="V120" s="395">
        <v>64441</v>
      </c>
      <c r="W120" s="396">
        <v>0</v>
      </c>
      <c r="X120" s="395">
        <v>1420338</v>
      </c>
      <c r="Y120" s="397"/>
    </row>
    <row r="121" spans="2:25" s="63" customFormat="1" ht="12.75" x14ac:dyDescent="0.2">
      <c r="B121" s="325">
        <f t="shared" si="2"/>
        <v>2018</v>
      </c>
      <c r="C121" s="394">
        <v>43101</v>
      </c>
      <c r="D121" s="395">
        <v>292583</v>
      </c>
      <c r="E121" s="395">
        <v>105437</v>
      </c>
      <c r="F121" s="395"/>
      <c r="G121" s="395">
        <v>451178</v>
      </c>
      <c r="H121" s="395">
        <v>35049</v>
      </c>
      <c r="I121" s="395">
        <v>0</v>
      </c>
      <c r="J121" s="395">
        <v>884247</v>
      </c>
      <c r="K121" s="395">
        <v>107127</v>
      </c>
      <c r="L121" s="395">
        <v>76961</v>
      </c>
      <c r="M121" s="395"/>
      <c r="N121" s="395">
        <v>327550</v>
      </c>
      <c r="O121" s="395">
        <v>29405</v>
      </c>
      <c r="P121" s="395">
        <v>0</v>
      </c>
      <c r="Q121" s="395">
        <v>541043</v>
      </c>
      <c r="R121" s="395">
        <v>399710</v>
      </c>
      <c r="S121" s="395">
        <v>182398</v>
      </c>
      <c r="T121" s="395"/>
      <c r="U121" s="395">
        <v>778728</v>
      </c>
      <c r="V121" s="395">
        <v>64454</v>
      </c>
      <c r="W121" s="396">
        <v>0</v>
      </c>
      <c r="X121" s="395">
        <v>1425290</v>
      </c>
      <c r="Y121" s="397"/>
    </row>
    <row r="122" spans="2:25" s="63" customFormat="1" ht="12.75" x14ac:dyDescent="0.2">
      <c r="B122" s="325">
        <f t="shared" si="2"/>
        <v>2018</v>
      </c>
      <c r="C122" s="394">
        <v>43132</v>
      </c>
      <c r="D122" s="395">
        <v>293042</v>
      </c>
      <c r="E122" s="395">
        <v>105456</v>
      </c>
      <c r="F122" s="395"/>
      <c r="G122" s="395">
        <v>453700</v>
      </c>
      <c r="H122" s="395">
        <v>35033</v>
      </c>
      <c r="I122" s="395">
        <v>0</v>
      </c>
      <c r="J122" s="395">
        <v>887231</v>
      </c>
      <c r="K122" s="395">
        <v>107132</v>
      </c>
      <c r="L122" s="395">
        <v>77084</v>
      </c>
      <c r="M122" s="395"/>
      <c r="N122" s="395">
        <v>329547</v>
      </c>
      <c r="O122" s="395">
        <v>29490</v>
      </c>
      <c r="P122" s="395">
        <v>0</v>
      </c>
      <c r="Q122" s="395">
        <v>543253</v>
      </c>
      <c r="R122" s="395">
        <v>400174</v>
      </c>
      <c r="S122" s="395">
        <v>182540</v>
      </c>
      <c r="T122" s="395"/>
      <c r="U122" s="395">
        <v>783247</v>
      </c>
      <c r="V122" s="395">
        <v>64523</v>
      </c>
      <c r="W122" s="396">
        <v>0</v>
      </c>
      <c r="X122" s="395">
        <v>1430484</v>
      </c>
      <c r="Y122" s="397"/>
    </row>
    <row r="123" spans="2:25" s="63" customFormat="1" ht="12.75" x14ac:dyDescent="0.2">
      <c r="B123" s="325">
        <f t="shared" si="2"/>
        <v>2018</v>
      </c>
      <c r="C123" s="394">
        <v>43160</v>
      </c>
      <c r="D123" s="395">
        <v>293567</v>
      </c>
      <c r="E123" s="395">
        <v>105616</v>
      </c>
      <c r="F123" s="395"/>
      <c r="G123" s="395">
        <v>458631</v>
      </c>
      <c r="H123" s="395">
        <v>35283</v>
      </c>
      <c r="I123" s="395">
        <v>0</v>
      </c>
      <c r="J123" s="395">
        <v>893097</v>
      </c>
      <c r="K123" s="395">
        <v>107103</v>
      </c>
      <c r="L123" s="395">
        <v>77234</v>
      </c>
      <c r="M123" s="395"/>
      <c r="N123" s="395">
        <v>332732</v>
      </c>
      <c r="O123" s="395">
        <v>29743</v>
      </c>
      <c r="P123" s="395">
        <v>0</v>
      </c>
      <c r="Q123" s="395">
        <v>546812</v>
      </c>
      <c r="R123" s="395">
        <v>400670</v>
      </c>
      <c r="S123" s="395">
        <v>182850</v>
      </c>
      <c r="T123" s="395"/>
      <c r="U123" s="395">
        <v>791363</v>
      </c>
      <c r="V123" s="395">
        <v>65026</v>
      </c>
      <c r="W123" s="396">
        <v>0</v>
      </c>
      <c r="X123" s="395">
        <v>1439909</v>
      </c>
      <c r="Y123" s="397"/>
    </row>
    <row r="124" spans="2:25" s="63" customFormat="1" ht="12.75" x14ac:dyDescent="0.2">
      <c r="B124" s="325">
        <f t="shared" si="2"/>
        <v>2018</v>
      </c>
      <c r="C124" s="394">
        <v>43191</v>
      </c>
      <c r="D124" s="395">
        <v>294247</v>
      </c>
      <c r="E124" s="395">
        <v>105655</v>
      </c>
      <c r="F124" s="395"/>
      <c r="G124" s="395">
        <v>464449</v>
      </c>
      <c r="H124" s="395">
        <v>35549</v>
      </c>
      <c r="I124" s="395">
        <v>0</v>
      </c>
      <c r="J124" s="395">
        <v>899900</v>
      </c>
      <c r="K124" s="395">
        <v>107208</v>
      </c>
      <c r="L124" s="395">
        <v>77305</v>
      </c>
      <c r="M124" s="395"/>
      <c r="N124" s="395">
        <v>336427</v>
      </c>
      <c r="O124" s="395">
        <v>29988</v>
      </c>
      <c r="P124" s="395">
        <v>0</v>
      </c>
      <c r="Q124" s="395">
        <v>550928</v>
      </c>
      <c r="R124" s="395">
        <v>401455</v>
      </c>
      <c r="S124" s="395">
        <v>182960</v>
      </c>
      <c r="T124" s="395"/>
      <c r="U124" s="395">
        <v>800876</v>
      </c>
      <c r="V124" s="395">
        <v>65537</v>
      </c>
      <c r="W124" s="396">
        <v>0</v>
      </c>
      <c r="X124" s="395">
        <v>1450828</v>
      </c>
      <c r="Y124" s="397"/>
    </row>
    <row r="125" spans="2:25" s="63" customFormat="1" ht="12.75" x14ac:dyDescent="0.2">
      <c r="B125" s="325">
        <f t="shared" si="2"/>
        <v>2018</v>
      </c>
      <c r="C125" s="394">
        <v>43221</v>
      </c>
      <c r="D125" s="395">
        <v>294732</v>
      </c>
      <c r="E125" s="395">
        <v>105715</v>
      </c>
      <c r="F125" s="395"/>
      <c r="G125" s="395">
        <v>468409</v>
      </c>
      <c r="H125" s="395">
        <v>35884</v>
      </c>
      <c r="I125" s="395">
        <v>0</v>
      </c>
      <c r="J125" s="395">
        <v>904740</v>
      </c>
      <c r="K125" s="395">
        <v>107281</v>
      </c>
      <c r="L125" s="395">
        <v>77366</v>
      </c>
      <c r="M125" s="395"/>
      <c r="N125" s="395">
        <v>339383</v>
      </c>
      <c r="O125" s="395">
        <v>30386</v>
      </c>
      <c r="P125" s="395">
        <v>0</v>
      </c>
      <c r="Q125" s="395">
        <v>554416</v>
      </c>
      <c r="R125" s="395">
        <v>402013</v>
      </c>
      <c r="S125" s="395">
        <v>183081</v>
      </c>
      <c r="T125" s="395"/>
      <c r="U125" s="395">
        <v>807792</v>
      </c>
      <c r="V125" s="395">
        <v>66270</v>
      </c>
      <c r="W125" s="396">
        <v>0</v>
      </c>
      <c r="X125" s="395">
        <v>1459156</v>
      </c>
      <c r="Y125" s="397"/>
    </row>
    <row r="126" spans="2:25" s="63" customFormat="1" ht="12.75" x14ac:dyDescent="0.2">
      <c r="B126" s="325">
        <f t="shared" si="2"/>
        <v>2018</v>
      </c>
      <c r="C126" s="394">
        <v>43252</v>
      </c>
      <c r="D126" s="395">
        <v>295169</v>
      </c>
      <c r="E126" s="395">
        <v>105807</v>
      </c>
      <c r="F126" s="395"/>
      <c r="G126" s="395">
        <v>471975</v>
      </c>
      <c r="H126" s="395">
        <v>36044</v>
      </c>
      <c r="I126" s="395">
        <v>0</v>
      </c>
      <c r="J126" s="395">
        <v>908995</v>
      </c>
      <c r="K126" s="395">
        <v>107282</v>
      </c>
      <c r="L126" s="395">
        <v>77464</v>
      </c>
      <c r="M126" s="395"/>
      <c r="N126" s="395">
        <v>342712</v>
      </c>
      <c r="O126" s="395">
        <v>30563</v>
      </c>
      <c r="P126" s="395">
        <v>0</v>
      </c>
      <c r="Q126" s="395">
        <v>558021</v>
      </c>
      <c r="R126" s="395">
        <v>402451</v>
      </c>
      <c r="S126" s="395">
        <v>183271</v>
      </c>
      <c r="T126" s="395"/>
      <c r="U126" s="395">
        <v>814687</v>
      </c>
      <c r="V126" s="395">
        <v>66607</v>
      </c>
      <c r="W126" s="396">
        <v>0</v>
      </c>
      <c r="X126" s="395">
        <v>1467016</v>
      </c>
      <c r="Y126" s="397"/>
    </row>
    <row r="127" spans="2:25" s="63" customFormat="1" ht="12.75" x14ac:dyDescent="0.2">
      <c r="B127" s="325">
        <f t="shared" si="2"/>
        <v>2018</v>
      </c>
      <c r="C127" s="394">
        <v>43282</v>
      </c>
      <c r="D127" s="395">
        <v>295634</v>
      </c>
      <c r="E127" s="395">
        <v>105788</v>
      </c>
      <c r="F127" s="395"/>
      <c r="G127" s="395">
        <v>475671</v>
      </c>
      <c r="H127" s="395">
        <v>36149</v>
      </c>
      <c r="I127" s="395">
        <v>0</v>
      </c>
      <c r="J127" s="395">
        <v>913242</v>
      </c>
      <c r="K127" s="395">
        <v>107234</v>
      </c>
      <c r="L127" s="395">
        <v>77547</v>
      </c>
      <c r="M127" s="395"/>
      <c r="N127" s="395">
        <v>346201</v>
      </c>
      <c r="O127" s="395">
        <v>30697</v>
      </c>
      <c r="P127" s="395">
        <v>0</v>
      </c>
      <c r="Q127" s="395">
        <v>561679</v>
      </c>
      <c r="R127" s="395">
        <v>402868</v>
      </c>
      <c r="S127" s="395">
        <v>183335</v>
      </c>
      <c r="T127" s="395"/>
      <c r="U127" s="395">
        <v>821872</v>
      </c>
      <c r="V127" s="395">
        <v>66846</v>
      </c>
      <c r="W127" s="396">
        <v>0</v>
      </c>
      <c r="X127" s="395">
        <v>1474921</v>
      </c>
      <c r="Y127" s="397"/>
    </row>
    <row r="128" spans="2:25" s="63" customFormat="1" ht="12.75" x14ac:dyDescent="0.2">
      <c r="B128" s="325">
        <f t="shared" si="2"/>
        <v>2018</v>
      </c>
      <c r="C128" s="394">
        <v>43313</v>
      </c>
      <c r="D128" s="395">
        <v>295924</v>
      </c>
      <c r="E128" s="395">
        <v>105679</v>
      </c>
      <c r="F128" s="395"/>
      <c r="G128" s="395">
        <v>478874</v>
      </c>
      <c r="H128" s="395">
        <v>36176</v>
      </c>
      <c r="I128" s="395">
        <v>0</v>
      </c>
      <c r="J128" s="395">
        <v>916653</v>
      </c>
      <c r="K128" s="395">
        <v>107093</v>
      </c>
      <c r="L128" s="395">
        <v>77605</v>
      </c>
      <c r="M128" s="395"/>
      <c r="N128" s="395">
        <v>349112</v>
      </c>
      <c r="O128" s="395">
        <v>30737</v>
      </c>
      <c r="P128" s="395">
        <v>0</v>
      </c>
      <c r="Q128" s="395">
        <v>564547</v>
      </c>
      <c r="R128" s="395">
        <v>403017</v>
      </c>
      <c r="S128" s="395">
        <v>183284</v>
      </c>
      <c r="T128" s="395"/>
      <c r="U128" s="395">
        <v>827986</v>
      </c>
      <c r="V128" s="395">
        <v>66913</v>
      </c>
      <c r="W128" s="396">
        <v>0</v>
      </c>
      <c r="X128" s="395">
        <v>1481200</v>
      </c>
      <c r="Y128" s="397"/>
    </row>
    <row r="129" spans="2:25" s="63" customFormat="1" ht="12.75" x14ac:dyDescent="0.2">
      <c r="B129" s="325">
        <f t="shared" si="2"/>
        <v>2018</v>
      </c>
      <c r="C129" s="394">
        <v>43344</v>
      </c>
      <c r="D129" s="395">
        <v>296093</v>
      </c>
      <c r="E129" s="395">
        <v>105529</v>
      </c>
      <c r="F129" s="395"/>
      <c r="G129" s="395">
        <v>481641</v>
      </c>
      <c r="H129" s="395">
        <v>36125</v>
      </c>
      <c r="I129" s="395">
        <v>0</v>
      </c>
      <c r="J129" s="395">
        <v>919388</v>
      </c>
      <c r="K129" s="395">
        <v>106961</v>
      </c>
      <c r="L129" s="395">
        <v>77584</v>
      </c>
      <c r="M129" s="395"/>
      <c r="N129" s="395">
        <v>351534</v>
      </c>
      <c r="O129" s="395">
        <v>30718</v>
      </c>
      <c r="P129" s="395">
        <v>0</v>
      </c>
      <c r="Q129" s="395">
        <v>566797</v>
      </c>
      <c r="R129" s="395">
        <v>403054</v>
      </c>
      <c r="S129" s="395">
        <v>183113</v>
      </c>
      <c r="T129" s="395"/>
      <c r="U129" s="395">
        <v>833175</v>
      </c>
      <c r="V129" s="395">
        <v>66843</v>
      </c>
      <c r="W129" s="396">
        <v>0</v>
      </c>
      <c r="X129" s="395">
        <v>1486185</v>
      </c>
      <c r="Y129" s="397"/>
    </row>
    <row r="130" spans="2:25" s="63" customFormat="1" ht="12.75" x14ac:dyDescent="0.2">
      <c r="B130" s="325">
        <f t="shared" si="2"/>
        <v>2018</v>
      </c>
      <c r="C130" s="394">
        <v>43374</v>
      </c>
      <c r="D130" s="395">
        <v>296516</v>
      </c>
      <c r="E130" s="395">
        <v>105419</v>
      </c>
      <c r="F130" s="395"/>
      <c r="G130" s="395">
        <v>485731</v>
      </c>
      <c r="H130" s="395">
        <v>36113</v>
      </c>
      <c r="I130" s="395">
        <v>0</v>
      </c>
      <c r="J130" s="395">
        <v>923779</v>
      </c>
      <c r="K130" s="395">
        <v>106848</v>
      </c>
      <c r="L130" s="395">
        <v>77638</v>
      </c>
      <c r="M130" s="395"/>
      <c r="N130" s="395">
        <v>354434</v>
      </c>
      <c r="O130" s="395">
        <v>30790</v>
      </c>
      <c r="P130" s="395">
        <v>0</v>
      </c>
      <c r="Q130" s="395">
        <v>569710</v>
      </c>
      <c r="R130" s="395">
        <v>403364</v>
      </c>
      <c r="S130" s="395">
        <v>183057</v>
      </c>
      <c r="T130" s="395"/>
      <c r="U130" s="395">
        <v>840165</v>
      </c>
      <c r="V130" s="395">
        <v>66903</v>
      </c>
      <c r="W130" s="396">
        <v>0</v>
      </c>
      <c r="X130" s="395">
        <v>1493489</v>
      </c>
      <c r="Y130" s="397"/>
    </row>
    <row r="131" spans="2:25" s="63" customFormat="1" ht="12.75" x14ac:dyDescent="0.2">
      <c r="B131" s="325">
        <f t="shared" si="2"/>
        <v>2018</v>
      </c>
      <c r="C131" s="394">
        <v>43405</v>
      </c>
      <c r="D131" s="395">
        <v>297058</v>
      </c>
      <c r="E131" s="395">
        <v>105310</v>
      </c>
      <c r="F131" s="395"/>
      <c r="G131" s="395">
        <v>489744</v>
      </c>
      <c r="H131" s="395">
        <v>36146</v>
      </c>
      <c r="I131" s="395">
        <v>0</v>
      </c>
      <c r="J131" s="395">
        <v>928258</v>
      </c>
      <c r="K131" s="395">
        <v>106809</v>
      </c>
      <c r="L131" s="395">
        <v>77607</v>
      </c>
      <c r="M131" s="395"/>
      <c r="N131" s="395">
        <v>357070</v>
      </c>
      <c r="O131" s="395">
        <v>30850</v>
      </c>
      <c r="P131" s="395">
        <v>0</v>
      </c>
      <c r="Q131" s="395">
        <v>572336</v>
      </c>
      <c r="R131" s="395">
        <v>403867</v>
      </c>
      <c r="S131" s="395">
        <v>182917</v>
      </c>
      <c r="T131" s="395"/>
      <c r="U131" s="395">
        <v>846814</v>
      </c>
      <c r="V131" s="395">
        <v>66996</v>
      </c>
      <c r="W131" s="396">
        <v>0</v>
      </c>
      <c r="X131" s="395">
        <v>1500594</v>
      </c>
      <c r="Y131" s="397"/>
    </row>
    <row r="132" spans="2:25" s="63" customFormat="1" ht="12.75" x14ac:dyDescent="0.2">
      <c r="B132" s="325">
        <f t="shared" si="2"/>
        <v>2018</v>
      </c>
      <c r="C132" s="394">
        <v>43435</v>
      </c>
      <c r="D132" s="395">
        <v>297497</v>
      </c>
      <c r="E132" s="395">
        <v>105302</v>
      </c>
      <c r="F132" s="395"/>
      <c r="G132" s="395">
        <v>493400</v>
      </c>
      <c r="H132" s="395">
        <v>36075</v>
      </c>
      <c r="I132" s="395">
        <v>0</v>
      </c>
      <c r="J132" s="395">
        <v>932274</v>
      </c>
      <c r="K132" s="395">
        <v>106851</v>
      </c>
      <c r="L132" s="395">
        <v>77609</v>
      </c>
      <c r="M132" s="395"/>
      <c r="N132" s="395">
        <v>360031</v>
      </c>
      <c r="O132" s="395">
        <v>30827</v>
      </c>
      <c r="P132" s="395">
        <v>0</v>
      </c>
      <c r="Q132" s="395">
        <v>575318</v>
      </c>
      <c r="R132" s="395">
        <v>404348</v>
      </c>
      <c r="S132" s="395">
        <v>182911</v>
      </c>
      <c r="T132" s="395"/>
      <c r="U132" s="395">
        <v>853431</v>
      </c>
      <c r="V132" s="395">
        <v>66902</v>
      </c>
      <c r="W132" s="396">
        <v>0</v>
      </c>
      <c r="X132" s="395">
        <v>1507592</v>
      </c>
      <c r="Y132" s="397"/>
    </row>
    <row r="133" spans="2:25" s="63" customFormat="1" ht="12.75" x14ac:dyDescent="0.2">
      <c r="B133" s="325">
        <f t="shared" si="2"/>
        <v>2019</v>
      </c>
      <c r="C133" s="394">
        <v>43466</v>
      </c>
      <c r="D133" s="395">
        <v>298080</v>
      </c>
      <c r="E133" s="395">
        <v>105208</v>
      </c>
      <c r="F133" s="395"/>
      <c r="G133" s="395">
        <v>496897</v>
      </c>
      <c r="H133" s="395">
        <v>36096</v>
      </c>
      <c r="I133" s="395">
        <v>0</v>
      </c>
      <c r="J133" s="395">
        <v>936281</v>
      </c>
      <c r="K133" s="395">
        <v>106872</v>
      </c>
      <c r="L133" s="395">
        <v>77670</v>
      </c>
      <c r="M133" s="395"/>
      <c r="N133" s="395">
        <v>362514</v>
      </c>
      <c r="O133" s="395">
        <v>30910</v>
      </c>
      <c r="P133" s="395">
        <v>0</v>
      </c>
      <c r="Q133" s="395">
        <v>577966</v>
      </c>
      <c r="R133" s="395">
        <v>404952</v>
      </c>
      <c r="S133" s="395">
        <v>182878</v>
      </c>
      <c r="T133" s="395"/>
      <c r="U133" s="395">
        <v>859411</v>
      </c>
      <c r="V133" s="395">
        <v>67006</v>
      </c>
      <c r="W133" s="396">
        <v>0</v>
      </c>
      <c r="X133" s="395">
        <v>1514247</v>
      </c>
      <c r="Y133" s="397"/>
    </row>
    <row r="134" spans="2:25" s="63" customFormat="1" ht="12.75" x14ac:dyDescent="0.2">
      <c r="B134" s="325">
        <f t="shared" si="2"/>
        <v>2019</v>
      </c>
      <c r="C134" s="394">
        <v>43497</v>
      </c>
      <c r="D134" s="395">
        <v>298635</v>
      </c>
      <c r="E134" s="395">
        <v>105188</v>
      </c>
      <c r="F134" s="395"/>
      <c r="G134" s="395">
        <v>499418</v>
      </c>
      <c r="H134" s="395">
        <v>36240</v>
      </c>
      <c r="I134" s="395">
        <v>0</v>
      </c>
      <c r="J134" s="395">
        <v>939481</v>
      </c>
      <c r="K134" s="395">
        <v>106895</v>
      </c>
      <c r="L134" s="395">
        <v>77752</v>
      </c>
      <c r="M134" s="395"/>
      <c r="N134" s="395">
        <v>365127</v>
      </c>
      <c r="O134" s="395">
        <v>30991</v>
      </c>
      <c r="P134" s="395">
        <v>0</v>
      </c>
      <c r="Q134" s="395">
        <v>580765</v>
      </c>
      <c r="R134" s="395">
        <v>405530</v>
      </c>
      <c r="S134" s="395">
        <v>182940</v>
      </c>
      <c r="T134" s="395"/>
      <c r="U134" s="395">
        <v>864545</v>
      </c>
      <c r="V134" s="395">
        <v>67231</v>
      </c>
      <c r="W134" s="396">
        <v>0</v>
      </c>
      <c r="X134" s="395">
        <v>1520246</v>
      </c>
      <c r="Y134" s="397"/>
    </row>
    <row r="135" spans="2:25" s="63" customFormat="1" ht="12.75" x14ac:dyDescent="0.2">
      <c r="B135" s="325">
        <f t="shared" si="2"/>
        <v>2019</v>
      </c>
      <c r="C135" s="394">
        <v>43525</v>
      </c>
      <c r="D135" s="395">
        <v>299080</v>
      </c>
      <c r="E135" s="395">
        <v>105239</v>
      </c>
      <c r="F135" s="395"/>
      <c r="G135" s="395">
        <v>503074</v>
      </c>
      <c r="H135" s="395">
        <v>36473</v>
      </c>
      <c r="I135" s="395">
        <v>0</v>
      </c>
      <c r="J135" s="395">
        <v>943866</v>
      </c>
      <c r="K135" s="395">
        <v>106958</v>
      </c>
      <c r="L135" s="395">
        <v>77866</v>
      </c>
      <c r="M135" s="395"/>
      <c r="N135" s="395">
        <v>368185</v>
      </c>
      <c r="O135" s="395">
        <v>31236</v>
      </c>
      <c r="P135" s="395">
        <v>0</v>
      </c>
      <c r="Q135" s="395">
        <v>584245</v>
      </c>
      <c r="R135" s="395">
        <v>406038</v>
      </c>
      <c r="S135" s="395">
        <v>183105</v>
      </c>
      <c r="T135" s="395"/>
      <c r="U135" s="395">
        <v>871259</v>
      </c>
      <c r="V135" s="395">
        <v>67709</v>
      </c>
      <c r="W135" s="396">
        <v>0</v>
      </c>
      <c r="X135" s="395">
        <v>1528111</v>
      </c>
      <c r="Y135" s="397"/>
    </row>
    <row r="136" spans="2:25" s="63" customFormat="1" ht="12.75" x14ac:dyDescent="0.2">
      <c r="B136" s="325">
        <f t="shared" ref="B136:B199" si="3">+YEAR(C136)</f>
        <v>2019</v>
      </c>
      <c r="C136" s="394">
        <v>43556</v>
      </c>
      <c r="D136" s="395">
        <v>299513</v>
      </c>
      <c r="E136" s="395">
        <v>105215</v>
      </c>
      <c r="F136" s="395"/>
      <c r="G136" s="395">
        <v>506604</v>
      </c>
      <c r="H136" s="395">
        <v>36631</v>
      </c>
      <c r="I136" s="395">
        <v>0</v>
      </c>
      <c r="J136" s="395">
        <v>947963</v>
      </c>
      <c r="K136" s="395">
        <v>106957</v>
      </c>
      <c r="L136" s="395">
        <v>77900</v>
      </c>
      <c r="M136" s="395"/>
      <c r="N136" s="395">
        <v>370802</v>
      </c>
      <c r="O136" s="395">
        <v>31411</v>
      </c>
      <c r="P136" s="395">
        <v>0</v>
      </c>
      <c r="Q136" s="395">
        <v>587070</v>
      </c>
      <c r="R136" s="395">
        <v>406470</v>
      </c>
      <c r="S136" s="395">
        <v>183115</v>
      </c>
      <c r="T136" s="395"/>
      <c r="U136" s="395">
        <v>877406</v>
      </c>
      <c r="V136" s="395">
        <v>68042</v>
      </c>
      <c r="W136" s="396">
        <v>0</v>
      </c>
      <c r="X136" s="395">
        <v>1535033</v>
      </c>
      <c r="Y136" s="397"/>
    </row>
    <row r="137" spans="2:25" s="63" customFormat="1" ht="12.75" x14ac:dyDescent="0.2">
      <c r="B137" s="325">
        <f t="shared" si="3"/>
        <v>2019</v>
      </c>
      <c r="C137" s="394">
        <v>43586</v>
      </c>
      <c r="D137" s="395">
        <v>299970</v>
      </c>
      <c r="E137" s="395">
        <v>105207</v>
      </c>
      <c r="F137" s="395"/>
      <c r="G137" s="395">
        <v>510020</v>
      </c>
      <c r="H137" s="395">
        <v>36814</v>
      </c>
      <c r="I137" s="395">
        <v>0</v>
      </c>
      <c r="J137" s="395">
        <v>952011</v>
      </c>
      <c r="K137" s="395">
        <v>107023</v>
      </c>
      <c r="L137" s="395">
        <v>77981</v>
      </c>
      <c r="M137" s="395"/>
      <c r="N137" s="395">
        <v>373627</v>
      </c>
      <c r="O137" s="395">
        <v>31638</v>
      </c>
      <c r="P137" s="395">
        <v>0</v>
      </c>
      <c r="Q137" s="395">
        <v>590269</v>
      </c>
      <c r="R137" s="395">
        <v>406993</v>
      </c>
      <c r="S137" s="395">
        <v>183188</v>
      </c>
      <c r="T137" s="395"/>
      <c r="U137" s="395">
        <v>883647</v>
      </c>
      <c r="V137" s="395">
        <v>68452</v>
      </c>
      <c r="W137" s="396">
        <v>0</v>
      </c>
      <c r="X137" s="395">
        <v>1542280</v>
      </c>
      <c r="Y137" s="397"/>
    </row>
    <row r="138" spans="2:25" s="63" customFormat="1" ht="12.75" x14ac:dyDescent="0.2">
      <c r="B138" s="325">
        <f t="shared" si="3"/>
        <v>2019</v>
      </c>
      <c r="C138" s="394">
        <v>43617</v>
      </c>
      <c r="D138" s="395">
        <v>299952</v>
      </c>
      <c r="E138" s="395">
        <v>105150</v>
      </c>
      <c r="F138" s="395"/>
      <c r="G138" s="395">
        <v>512725</v>
      </c>
      <c r="H138" s="395">
        <v>36850</v>
      </c>
      <c r="I138" s="395">
        <v>0</v>
      </c>
      <c r="J138" s="395">
        <v>954677</v>
      </c>
      <c r="K138" s="395">
        <v>106910</v>
      </c>
      <c r="L138" s="395">
        <v>78001</v>
      </c>
      <c r="M138" s="395"/>
      <c r="N138" s="395">
        <v>375576</v>
      </c>
      <c r="O138" s="395">
        <v>31723</v>
      </c>
      <c r="P138" s="395">
        <v>0</v>
      </c>
      <c r="Q138" s="395">
        <v>592210</v>
      </c>
      <c r="R138" s="395">
        <v>406862</v>
      </c>
      <c r="S138" s="395">
        <v>183151</v>
      </c>
      <c r="T138" s="395"/>
      <c r="U138" s="395">
        <v>888301</v>
      </c>
      <c r="V138" s="395">
        <v>68573</v>
      </c>
      <c r="W138" s="396">
        <v>0</v>
      </c>
      <c r="X138" s="395">
        <v>1546887</v>
      </c>
      <c r="Y138" s="397"/>
    </row>
    <row r="139" spans="2:25" s="63" customFormat="1" ht="12.75" x14ac:dyDescent="0.2">
      <c r="B139" s="325">
        <f t="shared" si="3"/>
        <v>2019</v>
      </c>
      <c r="C139" s="394">
        <v>43647</v>
      </c>
      <c r="D139" s="395">
        <v>300192</v>
      </c>
      <c r="E139" s="395">
        <v>105129</v>
      </c>
      <c r="F139" s="395"/>
      <c r="G139" s="395">
        <v>517325</v>
      </c>
      <c r="H139" s="395">
        <v>37208</v>
      </c>
      <c r="I139" s="395">
        <v>0</v>
      </c>
      <c r="J139" s="395">
        <v>959854</v>
      </c>
      <c r="K139" s="395">
        <v>106888</v>
      </c>
      <c r="L139" s="395">
        <v>78024</v>
      </c>
      <c r="M139" s="395"/>
      <c r="N139" s="395">
        <v>379973</v>
      </c>
      <c r="O139" s="395">
        <v>32159</v>
      </c>
      <c r="P139" s="395">
        <v>0</v>
      </c>
      <c r="Q139" s="395">
        <v>597044</v>
      </c>
      <c r="R139" s="395">
        <v>407080</v>
      </c>
      <c r="S139" s="395">
        <v>183153</v>
      </c>
      <c r="T139" s="395"/>
      <c r="U139" s="395">
        <v>897298</v>
      </c>
      <c r="V139" s="395">
        <v>69367</v>
      </c>
      <c r="W139" s="396">
        <v>0</v>
      </c>
      <c r="X139" s="395">
        <v>1556898</v>
      </c>
      <c r="Y139" s="397"/>
    </row>
    <row r="140" spans="2:25" s="63" customFormat="1" ht="12.75" x14ac:dyDescent="0.2">
      <c r="B140" s="325">
        <f t="shared" si="3"/>
        <v>2019</v>
      </c>
      <c r="C140" s="394">
        <v>43678</v>
      </c>
      <c r="D140" s="395">
        <v>300148</v>
      </c>
      <c r="E140" s="395">
        <v>104843</v>
      </c>
      <c r="F140" s="395"/>
      <c r="G140" s="395">
        <v>518553</v>
      </c>
      <c r="H140" s="395">
        <v>36864</v>
      </c>
      <c r="I140" s="395">
        <v>0</v>
      </c>
      <c r="J140" s="395">
        <v>960408</v>
      </c>
      <c r="K140" s="395">
        <v>106680</v>
      </c>
      <c r="L140" s="395">
        <v>77895</v>
      </c>
      <c r="M140" s="395"/>
      <c r="N140" s="395">
        <v>380060</v>
      </c>
      <c r="O140" s="395">
        <v>31821</v>
      </c>
      <c r="P140" s="395">
        <v>0</v>
      </c>
      <c r="Q140" s="395">
        <v>596456</v>
      </c>
      <c r="R140" s="395">
        <v>406828</v>
      </c>
      <c r="S140" s="395">
        <v>182738</v>
      </c>
      <c r="T140" s="395"/>
      <c r="U140" s="395">
        <v>898613</v>
      </c>
      <c r="V140" s="395">
        <v>68685</v>
      </c>
      <c r="W140" s="396">
        <v>0</v>
      </c>
      <c r="X140" s="395">
        <v>1556864</v>
      </c>
      <c r="Y140" s="397"/>
    </row>
    <row r="141" spans="2:25" s="63" customFormat="1" ht="12.75" x14ac:dyDescent="0.2">
      <c r="B141" s="325">
        <f t="shared" si="3"/>
        <v>2019</v>
      </c>
      <c r="C141" s="394">
        <v>43709</v>
      </c>
      <c r="D141" s="395">
        <v>300285</v>
      </c>
      <c r="E141" s="395">
        <v>104591</v>
      </c>
      <c r="F141" s="395"/>
      <c r="G141" s="395">
        <v>522483</v>
      </c>
      <c r="H141" s="395">
        <v>37036</v>
      </c>
      <c r="I141" s="395">
        <v>0</v>
      </c>
      <c r="J141" s="395">
        <v>964395</v>
      </c>
      <c r="K141" s="395">
        <v>106524</v>
      </c>
      <c r="L141" s="395">
        <v>77795</v>
      </c>
      <c r="M141" s="395"/>
      <c r="N141" s="395">
        <v>383041</v>
      </c>
      <c r="O141" s="395">
        <v>32069</v>
      </c>
      <c r="P141" s="395">
        <v>0</v>
      </c>
      <c r="Q141" s="395">
        <v>599429</v>
      </c>
      <c r="R141" s="395">
        <v>406809</v>
      </c>
      <c r="S141" s="395">
        <v>182386</v>
      </c>
      <c r="T141" s="395"/>
      <c r="U141" s="395">
        <v>905524</v>
      </c>
      <c r="V141" s="395">
        <v>69105</v>
      </c>
      <c r="W141" s="396">
        <v>0</v>
      </c>
      <c r="X141" s="395">
        <v>1563824</v>
      </c>
      <c r="Y141" s="397"/>
    </row>
    <row r="142" spans="2:25" s="63" customFormat="1" ht="12.75" x14ac:dyDescent="0.2">
      <c r="B142" s="325">
        <f t="shared" si="3"/>
        <v>2019</v>
      </c>
      <c r="C142" s="394">
        <v>43739</v>
      </c>
      <c r="D142" s="395">
        <v>300301</v>
      </c>
      <c r="E142" s="395">
        <v>104481</v>
      </c>
      <c r="F142" s="395"/>
      <c r="G142" s="395">
        <v>525564</v>
      </c>
      <c r="H142" s="395">
        <v>37173</v>
      </c>
      <c r="I142" s="395">
        <v>0</v>
      </c>
      <c r="J142" s="395">
        <v>967519</v>
      </c>
      <c r="K142" s="395">
        <v>106310</v>
      </c>
      <c r="L142" s="395">
        <v>77796</v>
      </c>
      <c r="M142" s="395"/>
      <c r="N142" s="395">
        <v>385533</v>
      </c>
      <c r="O142" s="395">
        <v>32232</v>
      </c>
      <c r="P142" s="395">
        <v>0</v>
      </c>
      <c r="Q142" s="395">
        <v>601871</v>
      </c>
      <c r="R142" s="395">
        <v>406611</v>
      </c>
      <c r="S142" s="395">
        <v>182277</v>
      </c>
      <c r="T142" s="395"/>
      <c r="U142" s="395">
        <v>911097</v>
      </c>
      <c r="V142" s="395">
        <v>69405</v>
      </c>
      <c r="W142" s="396">
        <v>0</v>
      </c>
      <c r="X142" s="395">
        <v>1569390</v>
      </c>
      <c r="Y142" s="397"/>
    </row>
    <row r="143" spans="2:25" s="63" customFormat="1" ht="12.75" x14ac:dyDescent="0.2">
      <c r="B143" s="325">
        <f t="shared" si="3"/>
        <v>2019</v>
      </c>
      <c r="C143" s="394">
        <v>43770</v>
      </c>
      <c r="D143" s="395">
        <v>300782</v>
      </c>
      <c r="E143" s="395">
        <v>104343</v>
      </c>
      <c r="F143" s="395"/>
      <c r="G143" s="395">
        <v>528588</v>
      </c>
      <c r="H143" s="395">
        <v>36934</v>
      </c>
      <c r="I143" s="395">
        <v>0</v>
      </c>
      <c r="J143" s="395">
        <v>970647</v>
      </c>
      <c r="K143" s="395">
        <v>106300</v>
      </c>
      <c r="L143" s="395">
        <v>77764</v>
      </c>
      <c r="M143" s="395"/>
      <c r="N143" s="395">
        <v>386948</v>
      </c>
      <c r="O143" s="395">
        <v>31887</v>
      </c>
      <c r="P143" s="395">
        <v>0</v>
      </c>
      <c r="Q143" s="395">
        <v>602899</v>
      </c>
      <c r="R143" s="395">
        <v>407082</v>
      </c>
      <c r="S143" s="395">
        <v>182107</v>
      </c>
      <c r="T143" s="395"/>
      <c r="U143" s="395">
        <v>915536</v>
      </c>
      <c r="V143" s="395">
        <v>68821</v>
      </c>
      <c r="W143" s="396">
        <v>0</v>
      </c>
      <c r="X143" s="395">
        <v>1573546</v>
      </c>
      <c r="Y143" s="397"/>
    </row>
    <row r="144" spans="2:25" s="63" customFormat="1" ht="12.75" x14ac:dyDescent="0.2">
      <c r="B144" s="325">
        <f t="shared" si="3"/>
        <v>2019</v>
      </c>
      <c r="C144" s="394">
        <v>43800</v>
      </c>
      <c r="D144" s="395">
        <v>300920</v>
      </c>
      <c r="E144" s="395">
        <v>104196</v>
      </c>
      <c r="F144" s="395"/>
      <c r="G144" s="395">
        <v>525915</v>
      </c>
      <c r="H144" s="395">
        <v>36702</v>
      </c>
      <c r="I144" s="395">
        <v>0</v>
      </c>
      <c r="J144" s="395">
        <v>967733</v>
      </c>
      <c r="K144" s="395">
        <v>106146</v>
      </c>
      <c r="L144" s="395">
        <v>77761</v>
      </c>
      <c r="M144" s="395"/>
      <c r="N144" s="395">
        <v>388114</v>
      </c>
      <c r="O144" s="395">
        <v>31630</v>
      </c>
      <c r="P144" s="395">
        <v>0</v>
      </c>
      <c r="Q144" s="395">
        <v>603651</v>
      </c>
      <c r="R144" s="395">
        <v>407066</v>
      </c>
      <c r="S144" s="395">
        <v>181957</v>
      </c>
      <c r="T144" s="395"/>
      <c r="U144" s="395">
        <v>914029</v>
      </c>
      <c r="V144" s="395">
        <v>68332</v>
      </c>
      <c r="W144" s="396">
        <v>0</v>
      </c>
      <c r="X144" s="395">
        <v>1571384</v>
      </c>
      <c r="Y144" s="397"/>
    </row>
    <row r="145" spans="2:25" s="63" customFormat="1" ht="12.75" x14ac:dyDescent="0.2">
      <c r="B145" s="325">
        <f t="shared" si="3"/>
        <v>2020</v>
      </c>
      <c r="C145" s="394">
        <v>43831</v>
      </c>
      <c r="D145" s="395">
        <v>301556</v>
      </c>
      <c r="E145" s="395">
        <v>104225</v>
      </c>
      <c r="F145" s="395"/>
      <c r="G145" s="395">
        <v>540610</v>
      </c>
      <c r="H145" s="395">
        <v>37278</v>
      </c>
      <c r="I145" s="395">
        <v>0</v>
      </c>
      <c r="J145" s="395">
        <v>983669</v>
      </c>
      <c r="K145" s="395">
        <v>106262</v>
      </c>
      <c r="L145" s="395">
        <v>77856</v>
      </c>
      <c r="M145" s="395"/>
      <c r="N145" s="395">
        <v>392610</v>
      </c>
      <c r="O145" s="395">
        <v>32309</v>
      </c>
      <c r="P145" s="395">
        <v>0</v>
      </c>
      <c r="Q145" s="395">
        <v>609037</v>
      </c>
      <c r="R145" s="395">
        <v>407818</v>
      </c>
      <c r="S145" s="395">
        <v>182081</v>
      </c>
      <c r="T145" s="395"/>
      <c r="U145" s="395">
        <v>933220</v>
      </c>
      <c r="V145" s="395">
        <v>69587</v>
      </c>
      <c r="W145" s="396">
        <v>0</v>
      </c>
      <c r="X145" s="395">
        <v>1592706</v>
      </c>
      <c r="Y145" s="397"/>
    </row>
    <row r="146" spans="2:25" s="63" customFormat="1" ht="12.75" x14ac:dyDescent="0.2">
      <c r="B146" s="325">
        <f t="shared" si="3"/>
        <v>2020</v>
      </c>
      <c r="C146" s="394">
        <v>43862</v>
      </c>
      <c r="D146" s="395">
        <v>302529</v>
      </c>
      <c r="E146" s="395">
        <v>104288</v>
      </c>
      <c r="F146" s="395"/>
      <c r="G146" s="395">
        <v>546952</v>
      </c>
      <c r="H146" s="395">
        <v>37310</v>
      </c>
      <c r="I146" s="395">
        <v>1</v>
      </c>
      <c r="J146" s="395">
        <v>991080</v>
      </c>
      <c r="K146" s="395">
        <v>106478</v>
      </c>
      <c r="L146" s="395">
        <v>77902</v>
      </c>
      <c r="M146" s="395"/>
      <c r="N146" s="395">
        <v>398903</v>
      </c>
      <c r="O146" s="395">
        <v>32349</v>
      </c>
      <c r="P146" s="395">
        <v>0</v>
      </c>
      <c r="Q146" s="395">
        <v>615632</v>
      </c>
      <c r="R146" s="395">
        <v>409007</v>
      </c>
      <c r="S146" s="395">
        <v>182190</v>
      </c>
      <c r="T146" s="395"/>
      <c r="U146" s="395">
        <v>945855</v>
      </c>
      <c r="V146" s="395">
        <v>69659</v>
      </c>
      <c r="W146" s="396">
        <v>1</v>
      </c>
      <c r="X146" s="395">
        <v>1606712</v>
      </c>
      <c r="Y146" s="397"/>
    </row>
    <row r="147" spans="2:25" s="63" customFormat="1" ht="12.75" x14ac:dyDescent="0.2">
      <c r="B147" s="325">
        <f t="shared" si="3"/>
        <v>2020</v>
      </c>
      <c r="C147" s="394">
        <v>43891</v>
      </c>
      <c r="D147" s="395">
        <v>302939</v>
      </c>
      <c r="E147" s="395">
        <v>104495</v>
      </c>
      <c r="F147" s="395"/>
      <c r="G147" s="395">
        <v>555640</v>
      </c>
      <c r="H147" s="395">
        <v>37607</v>
      </c>
      <c r="I147" s="395">
        <v>1</v>
      </c>
      <c r="J147" s="395">
        <v>1000682</v>
      </c>
      <c r="K147" s="395">
        <v>106463</v>
      </c>
      <c r="L147" s="395">
        <v>77989</v>
      </c>
      <c r="M147" s="395"/>
      <c r="N147" s="395">
        <v>408322</v>
      </c>
      <c r="O147" s="395">
        <v>32685</v>
      </c>
      <c r="P147" s="395">
        <v>0</v>
      </c>
      <c r="Q147" s="395">
        <v>625459</v>
      </c>
      <c r="R147" s="395">
        <v>409402</v>
      </c>
      <c r="S147" s="395">
        <v>182484</v>
      </c>
      <c r="T147" s="395"/>
      <c r="U147" s="395">
        <v>963962</v>
      </c>
      <c r="V147" s="395">
        <v>70292</v>
      </c>
      <c r="W147" s="396">
        <v>1</v>
      </c>
      <c r="X147" s="395">
        <v>1626141</v>
      </c>
      <c r="Y147" s="397"/>
    </row>
    <row r="148" spans="2:25" s="63" customFormat="1" ht="12.75" x14ac:dyDescent="0.2">
      <c r="B148" s="325">
        <f t="shared" si="3"/>
        <v>2020</v>
      </c>
      <c r="C148" s="394">
        <v>43922</v>
      </c>
      <c r="D148" s="395">
        <v>303117</v>
      </c>
      <c r="E148" s="395">
        <v>104476</v>
      </c>
      <c r="F148" s="395"/>
      <c r="G148" s="395">
        <v>565082</v>
      </c>
      <c r="H148" s="395">
        <v>37780</v>
      </c>
      <c r="I148" s="395">
        <v>2</v>
      </c>
      <c r="J148" s="395">
        <v>1010457</v>
      </c>
      <c r="K148" s="395">
        <v>106371</v>
      </c>
      <c r="L148" s="395">
        <v>78073</v>
      </c>
      <c r="M148" s="395"/>
      <c r="N148" s="395">
        <v>415744</v>
      </c>
      <c r="O148" s="395">
        <v>32913</v>
      </c>
      <c r="P148" s="395">
        <v>0</v>
      </c>
      <c r="Q148" s="395">
        <v>633101</v>
      </c>
      <c r="R148" s="395">
        <v>409488</v>
      </c>
      <c r="S148" s="395">
        <v>182549</v>
      </c>
      <c r="T148" s="395"/>
      <c r="U148" s="395">
        <v>980826</v>
      </c>
      <c r="V148" s="395">
        <v>70693</v>
      </c>
      <c r="W148" s="396">
        <v>2</v>
      </c>
      <c r="X148" s="395">
        <v>1643558</v>
      </c>
      <c r="Y148" s="397"/>
    </row>
    <row r="149" spans="2:25" s="63" customFormat="1" ht="12.75" x14ac:dyDescent="0.2">
      <c r="B149" s="325">
        <f t="shared" si="3"/>
        <v>2020</v>
      </c>
      <c r="C149" s="394">
        <v>43952</v>
      </c>
      <c r="D149" s="395">
        <v>303106</v>
      </c>
      <c r="E149" s="395">
        <v>104421</v>
      </c>
      <c r="F149" s="395"/>
      <c r="G149" s="395">
        <v>566670</v>
      </c>
      <c r="H149" s="395">
        <v>37953</v>
      </c>
      <c r="I149" s="395">
        <v>2</v>
      </c>
      <c r="J149" s="395">
        <v>1012152</v>
      </c>
      <c r="K149" s="395">
        <v>106379</v>
      </c>
      <c r="L149" s="395">
        <v>78092</v>
      </c>
      <c r="M149" s="395"/>
      <c r="N149" s="395">
        <v>417174</v>
      </c>
      <c r="O149" s="395">
        <v>33101</v>
      </c>
      <c r="P149" s="395">
        <v>0</v>
      </c>
      <c r="Q149" s="395">
        <v>634746</v>
      </c>
      <c r="R149" s="395">
        <v>409485</v>
      </c>
      <c r="S149" s="395">
        <v>182513</v>
      </c>
      <c r="T149" s="395"/>
      <c r="U149" s="395">
        <v>983844</v>
      </c>
      <c r="V149" s="395">
        <v>71054</v>
      </c>
      <c r="W149" s="396">
        <v>2</v>
      </c>
      <c r="X149" s="395">
        <v>1646898</v>
      </c>
      <c r="Y149" s="397"/>
    </row>
    <row r="150" spans="2:25" s="63" customFormat="1" ht="12.75" x14ac:dyDescent="0.2">
      <c r="B150" s="325">
        <f t="shared" si="3"/>
        <v>2020</v>
      </c>
      <c r="C150" s="394">
        <v>43983</v>
      </c>
      <c r="D150" s="395">
        <v>303034</v>
      </c>
      <c r="E150" s="395">
        <v>104307</v>
      </c>
      <c r="F150" s="395"/>
      <c r="G150" s="395">
        <v>570289</v>
      </c>
      <c r="H150" s="395">
        <v>38176</v>
      </c>
      <c r="I150" s="395">
        <v>3</v>
      </c>
      <c r="J150" s="395">
        <v>1015809</v>
      </c>
      <c r="K150" s="395">
        <v>106296</v>
      </c>
      <c r="L150" s="395">
        <v>78085</v>
      </c>
      <c r="M150" s="395"/>
      <c r="N150" s="395">
        <v>421409</v>
      </c>
      <c r="O150" s="395">
        <v>33326</v>
      </c>
      <c r="P150" s="395">
        <v>2</v>
      </c>
      <c r="Q150" s="395">
        <v>639118</v>
      </c>
      <c r="R150" s="395">
        <v>409330</v>
      </c>
      <c r="S150" s="395">
        <v>182392</v>
      </c>
      <c r="T150" s="395"/>
      <c r="U150" s="395">
        <v>991698</v>
      </c>
      <c r="V150" s="395">
        <v>71502</v>
      </c>
      <c r="W150" s="396">
        <v>5</v>
      </c>
      <c r="X150" s="395">
        <v>1654927</v>
      </c>
      <c r="Y150" s="397"/>
    </row>
    <row r="151" spans="2:25" s="63" customFormat="1" ht="12.75" x14ac:dyDescent="0.2">
      <c r="B151" s="325">
        <f t="shared" si="3"/>
        <v>2020</v>
      </c>
      <c r="C151" s="394">
        <v>44013</v>
      </c>
      <c r="D151" s="395">
        <v>303114</v>
      </c>
      <c r="E151" s="395">
        <v>104212</v>
      </c>
      <c r="F151" s="395"/>
      <c r="G151" s="395">
        <v>572080</v>
      </c>
      <c r="H151" s="395">
        <v>38270</v>
      </c>
      <c r="I151" s="395">
        <v>3</v>
      </c>
      <c r="J151" s="395">
        <v>1017679</v>
      </c>
      <c r="K151" s="395">
        <v>106052</v>
      </c>
      <c r="L151" s="395">
        <v>77973</v>
      </c>
      <c r="M151" s="395"/>
      <c r="N151" s="395">
        <v>422356</v>
      </c>
      <c r="O151" s="395">
        <v>33396</v>
      </c>
      <c r="P151" s="395">
        <v>1</v>
      </c>
      <c r="Q151" s="395">
        <v>639778</v>
      </c>
      <c r="R151" s="395">
        <v>409166</v>
      </c>
      <c r="S151" s="395">
        <v>182185</v>
      </c>
      <c r="T151" s="395"/>
      <c r="U151" s="395">
        <v>994436</v>
      </c>
      <c r="V151" s="395">
        <v>71666</v>
      </c>
      <c r="W151" s="396">
        <v>4</v>
      </c>
      <c r="X151" s="395">
        <v>1657457</v>
      </c>
      <c r="Y151" s="397"/>
    </row>
    <row r="152" spans="2:25" s="63" customFormat="1" ht="12.75" x14ac:dyDescent="0.2">
      <c r="B152" s="325">
        <f t="shared" si="3"/>
        <v>2020</v>
      </c>
      <c r="C152" s="394">
        <v>44044</v>
      </c>
      <c r="D152" s="395">
        <v>302726</v>
      </c>
      <c r="E152" s="395">
        <v>104019</v>
      </c>
      <c r="F152" s="395"/>
      <c r="G152" s="395">
        <v>574464</v>
      </c>
      <c r="H152" s="395">
        <v>38301</v>
      </c>
      <c r="I152" s="395">
        <v>2</v>
      </c>
      <c r="J152" s="395">
        <v>1019512</v>
      </c>
      <c r="K152" s="395">
        <v>105522</v>
      </c>
      <c r="L152" s="395">
        <v>77954</v>
      </c>
      <c r="M152" s="395"/>
      <c r="N152" s="395">
        <v>424814</v>
      </c>
      <c r="O152" s="395">
        <v>33472</v>
      </c>
      <c r="P152" s="395">
        <v>2</v>
      </c>
      <c r="Q152" s="395">
        <v>641764</v>
      </c>
      <c r="R152" s="395">
        <v>408248</v>
      </c>
      <c r="S152" s="395">
        <v>181973</v>
      </c>
      <c r="T152" s="395"/>
      <c r="U152" s="395">
        <v>999278</v>
      </c>
      <c r="V152" s="395">
        <v>71773</v>
      </c>
      <c r="W152" s="396">
        <v>4</v>
      </c>
      <c r="X152" s="395">
        <v>1661276</v>
      </c>
      <c r="Y152" s="397"/>
    </row>
    <row r="153" spans="2:25" s="63" customFormat="1" ht="12.75" x14ac:dyDescent="0.2">
      <c r="B153" s="325">
        <f t="shared" si="3"/>
        <v>2020</v>
      </c>
      <c r="C153" s="394">
        <v>44075</v>
      </c>
      <c r="D153" s="395">
        <v>302786</v>
      </c>
      <c r="E153" s="395">
        <v>103817</v>
      </c>
      <c r="F153" s="395"/>
      <c r="G153" s="395">
        <v>578357</v>
      </c>
      <c r="H153" s="395">
        <v>38339</v>
      </c>
      <c r="I153" s="395">
        <v>2</v>
      </c>
      <c r="J153" s="395">
        <v>1023301</v>
      </c>
      <c r="K153" s="395">
        <v>105100</v>
      </c>
      <c r="L153" s="395">
        <v>77928</v>
      </c>
      <c r="M153" s="395"/>
      <c r="N153" s="395">
        <v>428184</v>
      </c>
      <c r="O153" s="395">
        <v>33532</v>
      </c>
      <c r="P153" s="395">
        <v>3</v>
      </c>
      <c r="Q153" s="395">
        <v>644747</v>
      </c>
      <c r="R153" s="395">
        <v>407886</v>
      </c>
      <c r="S153" s="395">
        <v>181745</v>
      </c>
      <c r="T153" s="395"/>
      <c r="U153" s="395">
        <v>1006541</v>
      </c>
      <c r="V153" s="395">
        <v>71871</v>
      </c>
      <c r="W153" s="396">
        <v>5</v>
      </c>
      <c r="X153" s="395">
        <v>1668048</v>
      </c>
      <c r="Y153" s="397"/>
    </row>
    <row r="154" spans="2:25" s="63" customFormat="1" ht="12.75" x14ac:dyDescent="0.2">
      <c r="B154" s="325">
        <f t="shared" si="3"/>
        <v>2020</v>
      </c>
      <c r="C154" s="394">
        <v>44105</v>
      </c>
      <c r="D154" s="395">
        <v>302124</v>
      </c>
      <c r="E154" s="395">
        <v>103576</v>
      </c>
      <c r="F154" s="395"/>
      <c r="G154" s="395">
        <v>583043</v>
      </c>
      <c r="H154" s="395">
        <v>38500</v>
      </c>
      <c r="I154" s="395">
        <v>2</v>
      </c>
      <c r="J154" s="395">
        <v>1027245</v>
      </c>
      <c r="K154" s="395">
        <v>104702</v>
      </c>
      <c r="L154" s="395">
        <v>77950</v>
      </c>
      <c r="M154" s="395"/>
      <c r="N154" s="395">
        <v>432062</v>
      </c>
      <c r="O154" s="395">
        <v>33724</v>
      </c>
      <c r="P154" s="395">
        <v>3</v>
      </c>
      <c r="Q154" s="395">
        <v>648441</v>
      </c>
      <c r="R154" s="395">
        <v>406826</v>
      </c>
      <c r="S154" s="395">
        <v>181526</v>
      </c>
      <c r="T154" s="395"/>
      <c r="U154" s="395">
        <v>1015105</v>
      </c>
      <c r="V154" s="395">
        <v>72224</v>
      </c>
      <c r="W154" s="396">
        <v>5</v>
      </c>
      <c r="X154" s="395">
        <v>1675686</v>
      </c>
      <c r="Y154" s="397"/>
    </row>
    <row r="155" spans="2:25" s="63" customFormat="1" ht="12.75" x14ac:dyDescent="0.2">
      <c r="B155" s="325">
        <f t="shared" si="3"/>
        <v>2020</v>
      </c>
      <c r="C155" s="394">
        <v>44136</v>
      </c>
      <c r="D155" s="395">
        <v>302029</v>
      </c>
      <c r="E155" s="395">
        <v>103373</v>
      </c>
      <c r="F155" s="395"/>
      <c r="G155" s="395">
        <v>589403</v>
      </c>
      <c r="H155" s="395">
        <v>38626</v>
      </c>
      <c r="I155" s="395">
        <v>2</v>
      </c>
      <c r="J155" s="395">
        <v>1033433</v>
      </c>
      <c r="K155" s="395">
        <v>104460</v>
      </c>
      <c r="L155" s="395">
        <v>77999</v>
      </c>
      <c r="M155" s="395"/>
      <c r="N155" s="395">
        <v>436187</v>
      </c>
      <c r="O155" s="395">
        <v>34000</v>
      </c>
      <c r="P155" s="395">
        <v>2</v>
      </c>
      <c r="Q155" s="395">
        <v>652648</v>
      </c>
      <c r="R155" s="395">
        <v>406489</v>
      </c>
      <c r="S155" s="395">
        <v>181372</v>
      </c>
      <c r="T155" s="395"/>
      <c r="U155" s="395">
        <v>1025590</v>
      </c>
      <c r="V155" s="395">
        <v>72626</v>
      </c>
      <c r="W155" s="396">
        <v>4</v>
      </c>
      <c r="X155" s="395">
        <v>1686081</v>
      </c>
      <c r="Y155" s="397"/>
    </row>
    <row r="156" spans="2:25" s="63" customFormat="1" ht="12.75" x14ac:dyDescent="0.2">
      <c r="B156" s="325">
        <f t="shared" si="3"/>
        <v>2020</v>
      </c>
      <c r="C156" s="394">
        <v>44166</v>
      </c>
      <c r="D156" s="395">
        <v>302560</v>
      </c>
      <c r="E156" s="395">
        <v>103131</v>
      </c>
      <c r="F156" s="395"/>
      <c r="G156" s="395">
        <v>595180</v>
      </c>
      <c r="H156" s="395">
        <v>38619</v>
      </c>
      <c r="I156" s="395">
        <v>3</v>
      </c>
      <c r="J156" s="395">
        <v>1039493</v>
      </c>
      <c r="K156" s="395">
        <v>104548</v>
      </c>
      <c r="L156" s="395">
        <v>78045</v>
      </c>
      <c r="M156" s="395"/>
      <c r="N156" s="395">
        <v>439776</v>
      </c>
      <c r="O156" s="395">
        <v>34075</v>
      </c>
      <c r="P156" s="395">
        <v>2</v>
      </c>
      <c r="Q156" s="395">
        <v>656446</v>
      </c>
      <c r="R156" s="395">
        <v>407108</v>
      </c>
      <c r="S156" s="395">
        <v>181176</v>
      </c>
      <c r="T156" s="395"/>
      <c r="U156" s="395">
        <v>1034956</v>
      </c>
      <c r="V156" s="395">
        <v>72694</v>
      </c>
      <c r="W156" s="396">
        <v>5</v>
      </c>
      <c r="X156" s="395">
        <v>1695939</v>
      </c>
      <c r="Y156" s="397"/>
    </row>
    <row r="157" spans="2:25" s="63" customFormat="1" ht="12.75" x14ac:dyDescent="0.2">
      <c r="B157" s="325">
        <f t="shared" si="3"/>
        <v>2021</v>
      </c>
      <c r="C157" s="394">
        <v>44197</v>
      </c>
      <c r="D157" s="395">
        <v>303535</v>
      </c>
      <c r="E157" s="395">
        <v>102915</v>
      </c>
      <c r="F157" s="395"/>
      <c r="G157" s="395">
        <v>600842</v>
      </c>
      <c r="H157" s="395">
        <v>38683</v>
      </c>
      <c r="I157" s="395">
        <v>3</v>
      </c>
      <c r="J157" s="395">
        <v>1045978</v>
      </c>
      <c r="K157" s="395">
        <v>104773</v>
      </c>
      <c r="L157" s="395">
        <v>78093</v>
      </c>
      <c r="M157" s="395"/>
      <c r="N157" s="395">
        <v>443662</v>
      </c>
      <c r="O157" s="395">
        <v>34228</v>
      </c>
      <c r="P157" s="395">
        <v>3</v>
      </c>
      <c r="Q157" s="395">
        <v>660759</v>
      </c>
      <c r="R157" s="395">
        <v>408308</v>
      </c>
      <c r="S157" s="395">
        <v>181008</v>
      </c>
      <c r="T157" s="395"/>
      <c r="U157" s="395">
        <v>1044504</v>
      </c>
      <c r="V157" s="395">
        <v>72911</v>
      </c>
      <c r="W157" s="396">
        <v>6</v>
      </c>
      <c r="X157" s="395">
        <v>1706737</v>
      </c>
      <c r="Y157" s="397"/>
    </row>
    <row r="158" spans="2:25" s="63" customFormat="1" ht="12.75" x14ac:dyDescent="0.2">
      <c r="B158" s="325">
        <f t="shared" si="3"/>
        <v>2021</v>
      </c>
      <c r="C158" s="394">
        <v>44228</v>
      </c>
      <c r="D158" s="395">
        <v>303509</v>
      </c>
      <c r="E158" s="395">
        <v>102585</v>
      </c>
      <c r="F158" s="395"/>
      <c r="G158" s="395">
        <v>605436</v>
      </c>
      <c r="H158" s="395">
        <v>38750</v>
      </c>
      <c r="I158" s="395">
        <v>2</v>
      </c>
      <c r="J158" s="395">
        <v>1050282</v>
      </c>
      <c r="K158" s="395">
        <v>104543</v>
      </c>
      <c r="L158" s="395">
        <v>78054</v>
      </c>
      <c r="M158" s="395"/>
      <c r="N158" s="395">
        <v>447257</v>
      </c>
      <c r="O158" s="395">
        <v>34279</v>
      </c>
      <c r="P158" s="395">
        <v>2</v>
      </c>
      <c r="Q158" s="395">
        <v>664135</v>
      </c>
      <c r="R158" s="395">
        <v>408052</v>
      </c>
      <c r="S158" s="395">
        <v>180639</v>
      </c>
      <c r="T158" s="395"/>
      <c r="U158" s="395">
        <v>1052693</v>
      </c>
      <c r="V158" s="395">
        <v>73029</v>
      </c>
      <c r="W158" s="396">
        <v>4</v>
      </c>
      <c r="X158" s="395">
        <v>1714417</v>
      </c>
      <c r="Y158" s="397"/>
    </row>
    <row r="159" spans="2:25" s="63" customFormat="1" ht="12.75" x14ac:dyDescent="0.2">
      <c r="B159" s="325">
        <f t="shared" si="3"/>
        <v>2021</v>
      </c>
      <c r="C159" s="394">
        <v>44256</v>
      </c>
      <c r="D159" s="395">
        <v>303836</v>
      </c>
      <c r="E159" s="395">
        <v>102435</v>
      </c>
      <c r="F159" s="395"/>
      <c r="G159" s="395">
        <v>610095</v>
      </c>
      <c r="H159" s="395">
        <v>38777</v>
      </c>
      <c r="I159" s="395">
        <v>2</v>
      </c>
      <c r="J159" s="395">
        <v>1055145</v>
      </c>
      <c r="K159" s="395">
        <v>104524</v>
      </c>
      <c r="L159" s="395">
        <v>78131</v>
      </c>
      <c r="M159" s="395"/>
      <c r="N159" s="395">
        <v>450099</v>
      </c>
      <c r="O159" s="395">
        <v>34317</v>
      </c>
      <c r="P159" s="395">
        <v>4</v>
      </c>
      <c r="Q159" s="395">
        <v>667075</v>
      </c>
      <c r="R159" s="395">
        <v>408360</v>
      </c>
      <c r="S159" s="395">
        <v>180566</v>
      </c>
      <c r="T159" s="395"/>
      <c r="U159" s="395">
        <v>1060194</v>
      </c>
      <c r="V159" s="395">
        <v>73094</v>
      </c>
      <c r="W159" s="396">
        <v>6</v>
      </c>
      <c r="X159" s="395">
        <v>1722220</v>
      </c>
      <c r="Y159" s="397"/>
    </row>
    <row r="160" spans="2:25" s="63" customFormat="1" ht="12.75" x14ac:dyDescent="0.2">
      <c r="B160" s="325">
        <f t="shared" si="3"/>
        <v>2021</v>
      </c>
      <c r="C160" s="394">
        <v>44287</v>
      </c>
      <c r="D160" s="395">
        <v>304229</v>
      </c>
      <c r="E160" s="395">
        <v>102581</v>
      </c>
      <c r="F160" s="395"/>
      <c r="G160" s="395">
        <v>615165</v>
      </c>
      <c r="H160" s="395">
        <v>39434</v>
      </c>
      <c r="I160" s="395">
        <v>2</v>
      </c>
      <c r="J160" s="395">
        <v>1061411</v>
      </c>
      <c r="K160" s="395">
        <v>104568</v>
      </c>
      <c r="L160" s="395">
        <v>78384</v>
      </c>
      <c r="M160" s="395"/>
      <c r="N160" s="395">
        <v>453554</v>
      </c>
      <c r="O160" s="395">
        <v>35231</v>
      </c>
      <c r="P160" s="395">
        <v>4</v>
      </c>
      <c r="Q160" s="395">
        <v>671741</v>
      </c>
      <c r="R160" s="395">
        <v>408797</v>
      </c>
      <c r="S160" s="395">
        <v>180965</v>
      </c>
      <c r="T160" s="395"/>
      <c r="U160" s="395">
        <v>1068719</v>
      </c>
      <c r="V160" s="395">
        <v>74665</v>
      </c>
      <c r="W160" s="396">
        <v>6</v>
      </c>
      <c r="X160" s="395">
        <v>1733152</v>
      </c>
      <c r="Y160" s="397"/>
    </row>
    <row r="161" spans="2:25" s="63" customFormat="1" ht="12.75" x14ac:dyDescent="0.2">
      <c r="B161" s="325">
        <f t="shared" si="3"/>
        <v>2021</v>
      </c>
      <c r="C161" s="394">
        <v>44317</v>
      </c>
      <c r="D161" s="395">
        <v>304427</v>
      </c>
      <c r="E161" s="395">
        <v>102248</v>
      </c>
      <c r="F161" s="395"/>
      <c r="G161" s="395">
        <v>619925</v>
      </c>
      <c r="H161" s="395">
        <v>40665</v>
      </c>
      <c r="I161" s="395">
        <v>3</v>
      </c>
      <c r="J161" s="395">
        <v>1067268</v>
      </c>
      <c r="K161" s="395">
        <v>104477</v>
      </c>
      <c r="L161" s="395">
        <v>78324</v>
      </c>
      <c r="M161" s="395"/>
      <c r="N161" s="395">
        <v>456843</v>
      </c>
      <c r="O161" s="395">
        <v>36858</v>
      </c>
      <c r="P161" s="395">
        <v>5</v>
      </c>
      <c r="Q161" s="395">
        <v>676507</v>
      </c>
      <c r="R161" s="395">
        <v>408904</v>
      </c>
      <c r="S161" s="395">
        <v>180572</v>
      </c>
      <c r="T161" s="395"/>
      <c r="U161" s="395">
        <v>1076768</v>
      </c>
      <c r="V161" s="395">
        <v>77523</v>
      </c>
      <c r="W161" s="396">
        <v>8</v>
      </c>
      <c r="X161" s="395">
        <v>1743775</v>
      </c>
      <c r="Y161" s="397"/>
    </row>
    <row r="162" spans="2:25" s="63" customFormat="1" ht="12.75" x14ac:dyDescent="0.2">
      <c r="B162" s="325">
        <f t="shared" si="3"/>
        <v>2021</v>
      </c>
      <c r="C162" s="394">
        <v>44348</v>
      </c>
      <c r="D162" s="395">
        <v>304385</v>
      </c>
      <c r="E162" s="395">
        <v>102342</v>
      </c>
      <c r="F162" s="395"/>
      <c r="G162" s="395">
        <v>624280</v>
      </c>
      <c r="H162" s="395">
        <v>41406</v>
      </c>
      <c r="I162" s="395">
        <v>3</v>
      </c>
      <c r="J162" s="395">
        <v>1072416</v>
      </c>
      <c r="K162" s="395">
        <v>104256</v>
      </c>
      <c r="L162" s="395">
        <v>78508</v>
      </c>
      <c r="M162" s="395"/>
      <c r="N162" s="395">
        <v>459648</v>
      </c>
      <c r="O162" s="395">
        <v>37901</v>
      </c>
      <c r="P162" s="395">
        <v>6</v>
      </c>
      <c r="Q162" s="395">
        <v>680319</v>
      </c>
      <c r="R162" s="395">
        <v>408641</v>
      </c>
      <c r="S162" s="395">
        <v>180850</v>
      </c>
      <c r="T162" s="395"/>
      <c r="U162" s="395">
        <v>1083928</v>
      </c>
      <c r="V162" s="395">
        <v>79307</v>
      </c>
      <c r="W162" s="396">
        <v>9</v>
      </c>
      <c r="X162" s="395">
        <v>1752735</v>
      </c>
      <c r="Y162" s="397"/>
    </row>
    <row r="163" spans="2:25" s="63" customFormat="1" ht="12.75" x14ac:dyDescent="0.2">
      <c r="B163" s="325">
        <f t="shared" si="3"/>
        <v>2021</v>
      </c>
      <c r="C163" s="394">
        <v>44378</v>
      </c>
      <c r="D163" s="395">
        <v>304412</v>
      </c>
      <c r="E163" s="395">
        <v>102344</v>
      </c>
      <c r="F163" s="395"/>
      <c r="G163" s="395">
        <v>628233</v>
      </c>
      <c r="H163" s="395">
        <v>41969</v>
      </c>
      <c r="I163" s="395">
        <v>2</v>
      </c>
      <c r="J163" s="395">
        <v>1076960</v>
      </c>
      <c r="K163" s="395">
        <v>104136</v>
      </c>
      <c r="L163" s="395">
        <v>78636</v>
      </c>
      <c r="M163" s="395"/>
      <c r="N163" s="395">
        <v>462542</v>
      </c>
      <c r="O163" s="395">
        <v>38877</v>
      </c>
      <c r="P163" s="395">
        <v>7</v>
      </c>
      <c r="Q163" s="395">
        <v>684198</v>
      </c>
      <c r="R163" s="395">
        <v>408548</v>
      </c>
      <c r="S163" s="395">
        <v>180980</v>
      </c>
      <c r="T163" s="395"/>
      <c r="U163" s="395">
        <v>1090775</v>
      </c>
      <c r="V163" s="395">
        <v>80846</v>
      </c>
      <c r="W163" s="396">
        <v>9</v>
      </c>
      <c r="X163" s="395">
        <v>1761158</v>
      </c>
      <c r="Y163" s="397"/>
    </row>
    <row r="164" spans="2:25" s="63" customFormat="1" ht="12.75" x14ac:dyDescent="0.2">
      <c r="B164" s="325">
        <f t="shared" si="3"/>
        <v>2021</v>
      </c>
      <c r="C164" s="394">
        <v>44409</v>
      </c>
      <c r="D164" s="395">
        <v>304998</v>
      </c>
      <c r="E164" s="395">
        <v>102353</v>
      </c>
      <c r="F164" s="395"/>
      <c r="G164" s="395">
        <v>632311</v>
      </c>
      <c r="H164" s="395">
        <v>42296</v>
      </c>
      <c r="I164" s="395">
        <v>2</v>
      </c>
      <c r="J164" s="395">
        <v>1081960</v>
      </c>
      <c r="K164" s="395">
        <v>104304</v>
      </c>
      <c r="L164" s="395">
        <v>78808</v>
      </c>
      <c r="M164" s="395"/>
      <c r="N164" s="395">
        <v>464709</v>
      </c>
      <c r="O164" s="395">
        <v>39447</v>
      </c>
      <c r="P164" s="395">
        <v>6</v>
      </c>
      <c r="Q164" s="395">
        <v>687274</v>
      </c>
      <c r="R164" s="395">
        <v>409302</v>
      </c>
      <c r="S164" s="395">
        <v>181161</v>
      </c>
      <c r="T164" s="395"/>
      <c r="U164" s="395">
        <v>1097020</v>
      </c>
      <c r="V164" s="395">
        <v>81743</v>
      </c>
      <c r="W164" s="396">
        <v>8</v>
      </c>
      <c r="X164" s="395">
        <v>1769234</v>
      </c>
      <c r="Y164" s="397"/>
    </row>
    <row r="165" spans="2:25" s="63" customFormat="1" ht="12.75" x14ac:dyDescent="0.2">
      <c r="B165" s="325">
        <f t="shared" si="3"/>
        <v>2021</v>
      </c>
      <c r="C165" s="394">
        <v>44440</v>
      </c>
      <c r="D165" s="395">
        <v>305471</v>
      </c>
      <c r="E165" s="395">
        <v>102289</v>
      </c>
      <c r="F165" s="395"/>
      <c r="G165" s="395">
        <v>638396</v>
      </c>
      <c r="H165" s="395">
        <v>42481</v>
      </c>
      <c r="I165" s="395">
        <v>2</v>
      </c>
      <c r="J165" s="395">
        <v>1088639</v>
      </c>
      <c r="K165" s="395">
        <v>104316</v>
      </c>
      <c r="L165" s="395">
        <v>78880</v>
      </c>
      <c r="M165" s="395"/>
      <c r="N165" s="395">
        <v>469874</v>
      </c>
      <c r="O165" s="395">
        <v>39831</v>
      </c>
      <c r="P165" s="395">
        <v>6</v>
      </c>
      <c r="Q165" s="395">
        <v>692907</v>
      </c>
      <c r="R165" s="395">
        <v>409787</v>
      </c>
      <c r="S165" s="395">
        <v>181169</v>
      </c>
      <c r="T165" s="395"/>
      <c r="U165" s="395">
        <v>1108270</v>
      </c>
      <c r="V165" s="395">
        <v>82312</v>
      </c>
      <c r="W165" s="396">
        <v>8</v>
      </c>
      <c r="X165" s="395">
        <v>1781546</v>
      </c>
      <c r="Y165" s="397"/>
    </row>
    <row r="166" spans="2:25" s="63" customFormat="1" ht="12.75" x14ac:dyDescent="0.2">
      <c r="B166" s="325">
        <f t="shared" si="3"/>
        <v>2021</v>
      </c>
      <c r="C166" s="394">
        <v>44470</v>
      </c>
      <c r="D166" s="395">
        <v>306429</v>
      </c>
      <c r="E166" s="395">
        <v>102399</v>
      </c>
      <c r="F166" s="395"/>
      <c r="G166" s="395">
        <v>645913</v>
      </c>
      <c r="H166" s="395">
        <v>42530</v>
      </c>
      <c r="I166" s="395">
        <v>2</v>
      </c>
      <c r="J166" s="395">
        <v>1097273</v>
      </c>
      <c r="K166" s="395">
        <v>104673</v>
      </c>
      <c r="L166" s="395">
        <v>79105</v>
      </c>
      <c r="M166" s="395"/>
      <c r="N166" s="395">
        <v>475311</v>
      </c>
      <c r="O166" s="395">
        <v>40062</v>
      </c>
      <c r="P166" s="395">
        <v>10</v>
      </c>
      <c r="Q166" s="395">
        <v>699161</v>
      </c>
      <c r="R166" s="395">
        <v>411102</v>
      </c>
      <c r="S166" s="395">
        <v>181504</v>
      </c>
      <c r="T166" s="395"/>
      <c r="U166" s="395">
        <v>1121224</v>
      </c>
      <c r="V166" s="395">
        <v>82592</v>
      </c>
      <c r="W166" s="396">
        <v>12</v>
      </c>
      <c r="X166" s="395">
        <v>1796434</v>
      </c>
      <c r="Y166" s="397"/>
    </row>
    <row r="167" spans="2:25" s="63" customFormat="1" ht="12.75" x14ac:dyDescent="0.2">
      <c r="B167" s="325">
        <f t="shared" si="3"/>
        <v>2021</v>
      </c>
      <c r="C167" s="394">
        <v>44501</v>
      </c>
      <c r="D167" s="395">
        <v>307296</v>
      </c>
      <c r="E167" s="395">
        <v>102500</v>
      </c>
      <c r="F167" s="395"/>
      <c r="G167" s="395">
        <v>654021</v>
      </c>
      <c r="H167" s="395">
        <v>43059</v>
      </c>
      <c r="I167" s="395">
        <v>2</v>
      </c>
      <c r="J167" s="395">
        <v>1106878</v>
      </c>
      <c r="K167" s="395">
        <v>105079</v>
      </c>
      <c r="L167" s="395">
        <v>79398</v>
      </c>
      <c r="M167" s="395"/>
      <c r="N167" s="395">
        <v>481364</v>
      </c>
      <c r="O167" s="395">
        <v>41024</v>
      </c>
      <c r="P167" s="395">
        <v>11</v>
      </c>
      <c r="Q167" s="395">
        <v>706876</v>
      </c>
      <c r="R167" s="395">
        <v>412375</v>
      </c>
      <c r="S167" s="395">
        <v>181898</v>
      </c>
      <c r="T167" s="395"/>
      <c r="U167" s="395">
        <v>1135385</v>
      </c>
      <c r="V167" s="395">
        <v>84083</v>
      </c>
      <c r="W167" s="396">
        <v>13</v>
      </c>
      <c r="X167" s="395">
        <v>1813754</v>
      </c>
      <c r="Y167" s="397"/>
    </row>
    <row r="168" spans="2:25" s="63" customFormat="1" ht="12.75" x14ac:dyDescent="0.2">
      <c r="B168" s="325">
        <f t="shared" si="3"/>
        <v>2021</v>
      </c>
      <c r="C168" s="394">
        <v>44531</v>
      </c>
      <c r="D168" s="395">
        <v>308126</v>
      </c>
      <c r="E168" s="395">
        <v>102539</v>
      </c>
      <c r="F168" s="395"/>
      <c r="G168" s="395">
        <v>661228</v>
      </c>
      <c r="H168" s="395">
        <v>43273</v>
      </c>
      <c r="I168" s="395">
        <v>2</v>
      </c>
      <c r="J168" s="395">
        <v>1115168</v>
      </c>
      <c r="K168" s="395">
        <v>105397</v>
      </c>
      <c r="L168" s="395">
        <v>79548</v>
      </c>
      <c r="M168" s="395"/>
      <c r="N168" s="395">
        <v>486375</v>
      </c>
      <c r="O168" s="395">
        <v>41477</v>
      </c>
      <c r="P168" s="395">
        <v>13</v>
      </c>
      <c r="Q168" s="395">
        <v>712810</v>
      </c>
      <c r="R168" s="395">
        <v>413523</v>
      </c>
      <c r="S168" s="395">
        <v>182087</v>
      </c>
      <c r="T168" s="395"/>
      <c r="U168" s="395">
        <v>1147603</v>
      </c>
      <c r="V168" s="395">
        <v>84750</v>
      </c>
      <c r="W168" s="396">
        <v>15</v>
      </c>
      <c r="X168" s="395">
        <v>1827978</v>
      </c>
      <c r="Y168" s="397"/>
    </row>
    <row r="169" spans="2:25" s="63" customFormat="1" ht="12.75" x14ac:dyDescent="0.2">
      <c r="B169" s="325">
        <f t="shared" si="3"/>
        <v>2022</v>
      </c>
      <c r="C169" s="394">
        <v>44562</v>
      </c>
      <c r="D169" s="395">
        <v>309032</v>
      </c>
      <c r="E169" s="395">
        <v>102612</v>
      </c>
      <c r="F169" s="395"/>
      <c r="G169" s="395">
        <v>669074</v>
      </c>
      <c r="H169" s="395">
        <v>43561</v>
      </c>
      <c r="I169" s="395">
        <v>3</v>
      </c>
      <c r="J169" s="395">
        <v>1124282</v>
      </c>
      <c r="K169" s="395">
        <v>105909</v>
      </c>
      <c r="L169" s="395">
        <v>79732</v>
      </c>
      <c r="M169" s="395"/>
      <c r="N169" s="395">
        <v>492231</v>
      </c>
      <c r="O169" s="395">
        <v>41983</v>
      </c>
      <c r="P169" s="395">
        <v>13</v>
      </c>
      <c r="Q169" s="395">
        <v>719868</v>
      </c>
      <c r="R169" s="395">
        <v>414941</v>
      </c>
      <c r="S169" s="395">
        <v>182344</v>
      </c>
      <c r="T169" s="395"/>
      <c r="U169" s="395">
        <v>1161305</v>
      </c>
      <c r="V169" s="395">
        <v>85544</v>
      </c>
      <c r="W169" s="396">
        <v>16</v>
      </c>
      <c r="X169" s="395">
        <v>1844150</v>
      </c>
      <c r="Y169" s="397"/>
    </row>
    <row r="170" spans="2:25" s="63" customFormat="1" ht="12.75" x14ac:dyDescent="0.2">
      <c r="B170" s="325">
        <f t="shared" si="3"/>
        <v>2022</v>
      </c>
      <c r="C170" s="394">
        <v>44593</v>
      </c>
      <c r="D170" s="395">
        <v>309683</v>
      </c>
      <c r="E170" s="395">
        <v>102691</v>
      </c>
      <c r="F170" s="395">
        <v>517361</v>
      </c>
      <c r="G170" s="395">
        <v>157011</v>
      </c>
      <c r="H170" s="395">
        <v>43796</v>
      </c>
      <c r="I170" s="395"/>
      <c r="J170" s="395">
        <v>1130542</v>
      </c>
      <c r="K170" s="395">
        <v>106066</v>
      </c>
      <c r="L170" s="395">
        <v>79908</v>
      </c>
      <c r="M170" s="395">
        <v>340110</v>
      </c>
      <c r="N170" s="395">
        <v>156303</v>
      </c>
      <c r="O170" s="395">
        <v>42423</v>
      </c>
      <c r="P170" s="395"/>
      <c r="Q170" s="395">
        <v>724810</v>
      </c>
      <c r="R170" s="395">
        <v>415749</v>
      </c>
      <c r="S170" s="395">
        <v>182599</v>
      </c>
      <c r="T170" s="395">
        <v>857471</v>
      </c>
      <c r="U170" s="395">
        <v>313314</v>
      </c>
      <c r="V170" s="395">
        <v>86219</v>
      </c>
      <c r="W170" s="396"/>
      <c r="X170" s="395">
        <v>1855352</v>
      </c>
      <c r="Y170" s="397"/>
    </row>
    <row r="171" spans="2:25" s="63" customFormat="1" ht="12.75" x14ac:dyDescent="0.2">
      <c r="B171" s="325">
        <f t="shared" si="3"/>
        <v>2022</v>
      </c>
      <c r="C171" s="394">
        <v>44621</v>
      </c>
      <c r="D171" s="395">
        <v>312946</v>
      </c>
      <c r="E171" s="395">
        <v>102784</v>
      </c>
      <c r="F171" s="395">
        <v>536699</v>
      </c>
      <c r="G171" s="395">
        <v>158373</v>
      </c>
      <c r="H171" s="395">
        <v>44375</v>
      </c>
      <c r="I171" s="395"/>
      <c r="J171" s="395">
        <v>1155177</v>
      </c>
      <c r="K171" s="395">
        <v>107255</v>
      </c>
      <c r="L171" s="395">
        <v>80074</v>
      </c>
      <c r="M171" s="395">
        <v>361057</v>
      </c>
      <c r="N171" s="395">
        <v>158291</v>
      </c>
      <c r="O171" s="395">
        <v>43297</v>
      </c>
      <c r="P171" s="395"/>
      <c r="Q171" s="395">
        <v>749974</v>
      </c>
      <c r="R171" s="395">
        <v>420201</v>
      </c>
      <c r="S171" s="395">
        <v>182858</v>
      </c>
      <c r="T171" s="395">
        <v>897756</v>
      </c>
      <c r="U171" s="395">
        <v>316664</v>
      </c>
      <c r="V171" s="395">
        <v>87672</v>
      </c>
      <c r="W171" s="396"/>
      <c r="X171" s="395">
        <v>1905151</v>
      </c>
      <c r="Y171" s="397"/>
    </row>
    <row r="172" spans="2:25" s="63" customFormat="1" ht="12.75" x14ac:dyDescent="0.2">
      <c r="B172" s="325">
        <f t="shared" si="3"/>
        <v>2022</v>
      </c>
      <c r="C172" s="394">
        <v>44652</v>
      </c>
      <c r="D172" s="395">
        <v>314601</v>
      </c>
      <c r="E172" s="395">
        <v>102632</v>
      </c>
      <c r="F172" s="395">
        <v>552501</v>
      </c>
      <c r="G172" s="395">
        <v>154818</v>
      </c>
      <c r="H172" s="395">
        <v>44630</v>
      </c>
      <c r="I172" s="395"/>
      <c r="J172" s="395">
        <v>1169182</v>
      </c>
      <c r="K172" s="395">
        <v>107763</v>
      </c>
      <c r="L172" s="395">
        <v>80110</v>
      </c>
      <c r="M172" s="395">
        <v>374925</v>
      </c>
      <c r="N172" s="395">
        <v>157061</v>
      </c>
      <c r="O172" s="395">
        <v>43805</v>
      </c>
      <c r="P172" s="395"/>
      <c r="Q172" s="395">
        <v>763664</v>
      </c>
      <c r="R172" s="395">
        <v>422364</v>
      </c>
      <c r="S172" s="395">
        <v>182742</v>
      </c>
      <c r="T172" s="395">
        <v>927426</v>
      </c>
      <c r="U172" s="395">
        <v>311879</v>
      </c>
      <c r="V172" s="395">
        <v>88435</v>
      </c>
      <c r="W172" s="396"/>
      <c r="X172" s="395">
        <v>1932846</v>
      </c>
      <c r="Y172" s="397"/>
    </row>
    <row r="173" spans="2:25" s="63" customFormat="1" ht="12.75" x14ac:dyDescent="0.2">
      <c r="B173" s="325">
        <f t="shared" si="3"/>
        <v>2022</v>
      </c>
      <c r="C173" s="394">
        <v>44682</v>
      </c>
      <c r="D173" s="395">
        <v>316872</v>
      </c>
      <c r="E173" s="395">
        <v>102856</v>
      </c>
      <c r="F173" s="395">
        <v>605836</v>
      </c>
      <c r="G173" s="395">
        <v>111871</v>
      </c>
      <c r="H173" s="395">
        <v>44880</v>
      </c>
      <c r="I173" s="395"/>
      <c r="J173" s="395">
        <v>1182315</v>
      </c>
      <c r="K173" s="395">
        <v>108938</v>
      </c>
      <c r="L173" s="395">
        <v>80398</v>
      </c>
      <c r="M173" s="395">
        <v>477591</v>
      </c>
      <c r="N173" s="395">
        <v>65720</v>
      </c>
      <c r="O173" s="395">
        <v>44391</v>
      </c>
      <c r="P173" s="395"/>
      <c r="Q173" s="395">
        <v>777038</v>
      </c>
      <c r="R173" s="395">
        <v>425810</v>
      </c>
      <c r="S173" s="395">
        <v>183254</v>
      </c>
      <c r="T173" s="395">
        <v>1083427</v>
      </c>
      <c r="U173" s="395">
        <v>177591</v>
      </c>
      <c r="V173" s="395">
        <v>89271</v>
      </c>
      <c r="W173" s="396"/>
      <c r="X173" s="395">
        <v>1959353</v>
      </c>
      <c r="Y173" s="397"/>
    </row>
    <row r="174" spans="2:25" s="63" customFormat="1" ht="12.75" x14ac:dyDescent="0.2">
      <c r="B174" s="325">
        <f t="shared" si="3"/>
        <v>2022</v>
      </c>
      <c r="C174" s="394">
        <v>44713</v>
      </c>
      <c r="D174" s="395">
        <v>317138</v>
      </c>
      <c r="E174" s="395">
        <v>103404</v>
      </c>
      <c r="F174" s="395">
        <v>615086</v>
      </c>
      <c r="G174" s="395">
        <v>109948</v>
      </c>
      <c r="H174" s="395">
        <v>45192</v>
      </c>
      <c r="I174" s="395"/>
      <c r="J174" s="395">
        <v>1190768</v>
      </c>
      <c r="K174" s="395">
        <v>109221</v>
      </c>
      <c r="L174" s="395">
        <v>80766</v>
      </c>
      <c r="M174" s="395">
        <v>487043</v>
      </c>
      <c r="N174" s="395">
        <v>64976</v>
      </c>
      <c r="O174" s="395">
        <v>45010</v>
      </c>
      <c r="P174" s="395"/>
      <c r="Q174" s="395">
        <v>787016</v>
      </c>
      <c r="R174" s="395">
        <v>426359</v>
      </c>
      <c r="S174" s="395">
        <v>184170</v>
      </c>
      <c r="T174" s="395">
        <v>1102129</v>
      </c>
      <c r="U174" s="395">
        <v>174924</v>
      </c>
      <c r="V174" s="395">
        <v>90202</v>
      </c>
      <c r="W174" s="396"/>
      <c r="X174" s="395">
        <v>1977784</v>
      </c>
      <c r="Y174" s="397"/>
    </row>
    <row r="175" spans="2:25" s="63" customFormat="1" ht="12.75" x14ac:dyDescent="0.2">
      <c r="B175" s="325">
        <f>+YEAR(C175)</f>
        <v>2022</v>
      </c>
      <c r="C175" s="394">
        <v>44743</v>
      </c>
      <c r="D175" s="395">
        <v>317824</v>
      </c>
      <c r="E175" s="395">
        <v>103650</v>
      </c>
      <c r="F175" s="395">
        <v>621791</v>
      </c>
      <c r="G175" s="395">
        <v>109799</v>
      </c>
      <c r="H175" s="395">
        <v>45366</v>
      </c>
      <c r="I175" s="395"/>
      <c r="J175" s="395">
        <v>1198430</v>
      </c>
      <c r="K175" s="395">
        <v>109691</v>
      </c>
      <c r="L175" s="395">
        <v>81031</v>
      </c>
      <c r="M175" s="395">
        <v>498271</v>
      </c>
      <c r="N175" s="395">
        <v>64729</v>
      </c>
      <c r="O175" s="395">
        <v>45364</v>
      </c>
      <c r="P175" s="395"/>
      <c r="Q175" s="395">
        <v>799086</v>
      </c>
      <c r="R175" s="395">
        <v>427515</v>
      </c>
      <c r="S175" s="395">
        <v>184681</v>
      </c>
      <c r="T175" s="395">
        <v>1120062</v>
      </c>
      <c r="U175" s="395">
        <v>174528</v>
      </c>
      <c r="V175" s="395">
        <v>90730</v>
      </c>
      <c r="W175" s="396"/>
      <c r="X175" s="395">
        <v>1997516</v>
      </c>
      <c r="Y175" s="397"/>
    </row>
    <row r="176" spans="2:25" s="63" customFormat="1" ht="12.75" x14ac:dyDescent="0.2">
      <c r="B176" s="325">
        <f>+YEAR(C176)</f>
        <v>2022</v>
      </c>
      <c r="C176" s="394">
        <v>44774</v>
      </c>
      <c r="D176" s="395">
        <v>322017</v>
      </c>
      <c r="E176" s="395">
        <v>103890</v>
      </c>
      <c r="F176" s="395">
        <v>660104</v>
      </c>
      <c r="G176" s="395">
        <v>109904</v>
      </c>
      <c r="H176" s="395">
        <v>45575</v>
      </c>
      <c r="I176" s="395"/>
      <c r="J176" s="395">
        <v>1241490</v>
      </c>
      <c r="K176" s="395">
        <v>110018</v>
      </c>
      <c r="L176" s="395">
        <v>81219</v>
      </c>
      <c r="M176" s="395">
        <v>538150</v>
      </c>
      <c r="N176" s="395">
        <v>64644</v>
      </c>
      <c r="O176" s="395">
        <v>45817</v>
      </c>
      <c r="P176" s="395"/>
      <c r="Q176" s="395">
        <v>839848</v>
      </c>
      <c r="R176" s="395">
        <v>432035</v>
      </c>
      <c r="S176" s="395">
        <v>185109</v>
      </c>
      <c r="T176" s="395">
        <v>1198254</v>
      </c>
      <c r="U176" s="395">
        <v>174548</v>
      </c>
      <c r="V176" s="395">
        <v>91392</v>
      </c>
      <c r="W176" s="396"/>
      <c r="X176" s="395">
        <v>2081338</v>
      </c>
      <c r="Y176" s="397"/>
    </row>
    <row r="177" spans="2:25" s="63" customFormat="1" ht="12.75" x14ac:dyDescent="0.2">
      <c r="B177" s="325">
        <f t="shared" si="3"/>
        <v>2022</v>
      </c>
      <c r="C177" s="394">
        <v>44805</v>
      </c>
      <c r="D177" s="395">
        <v>321661</v>
      </c>
      <c r="E177" s="395">
        <v>103948</v>
      </c>
      <c r="F177" s="395">
        <v>679141</v>
      </c>
      <c r="G177" s="395">
        <v>109666</v>
      </c>
      <c r="H177" s="395">
        <v>45697</v>
      </c>
      <c r="I177" s="395"/>
      <c r="J177" s="395">
        <v>1260113</v>
      </c>
      <c r="K177" s="395">
        <v>109838</v>
      </c>
      <c r="L177" s="395">
        <v>81350</v>
      </c>
      <c r="M177" s="395">
        <v>553055</v>
      </c>
      <c r="N177" s="395">
        <v>64275</v>
      </c>
      <c r="O177" s="395">
        <v>46202</v>
      </c>
      <c r="P177" s="395"/>
      <c r="Q177" s="395">
        <v>854720</v>
      </c>
      <c r="R177" s="395">
        <v>431499</v>
      </c>
      <c r="S177" s="395">
        <v>185298</v>
      </c>
      <c r="T177" s="395">
        <v>1232196</v>
      </c>
      <c r="U177" s="395">
        <v>173941</v>
      </c>
      <c r="V177" s="395">
        <v>91899</v>
      </c>
      <c r="W177" s="396"/>
      <c r="X177" s="395">
        <v>2114833</v>
      </c>
      <c r="Y177" s="397"/>
    </row>
    <row r="178" spans="2:25" s="63" customFormat="1" ht="12.75" x14ac:dyDescent="0.2">
      <c r="B178" s="325">
        <f t="shared" si="3"/>
        <v>2022</v>
      </c>
      <c r="C178" s="394">
        <v>44835</v>
      </c>
      <c r="D178" s="395">
        <v>322141</v>
      </c>
      <c r="E178" s="395">
        <v>103979</v>
      </c>
      <c r="F178" s="395">
        <v>686334</v>
      </c>
      <c r="G178" s="395">
        <v>109393</v>
      </c>
      <c r="H178" s="395">
        <v>45739</v>
      </c>
      <c r="I178" s="395"/>
      <c r="J178" s="395">
        <v>1267586</v>
      </c>
      <c r="K178" s="395">
        <v>109963</v>
      </c>
      <c r="L178" s="395">
        <v>81414</v>
      </c>
      <c r="M178" s="395">
        <v>563950</v>
      </c>
      <c r="N178" s="395">
        <v>63815</v>
      </c>
      <c r="O178" s="395">
        <v>46381</v>
      </c>
      <c r="P178" s="395"/>
      <c r="Q178" s="395">
        <v>865523</v>
      </c>
      <c r="R178" s="395">
        <v>432104</v>
      </c>
      <c r="S178" s="395">
        <v>185393</v>
      </c>
      <c r="T178" s="395">
        <v>1250284</v>
      </c>
      <c r="U178" s="395">
        <v>173208</v>
      </c>
      <c r="V178" s="395">
        <v>92120</v>
      </c>
      <c r="W178" s="396"/>
      <c r="X178" s="395">
        <v>2133109</v>
      </c>
      <c r="Y178" s="397"/>
    </row>
    <row r="179" spans="2:25" s="63" customFormat="1" ht="12.75" x14ac:dyDescent="0.2">
      <c r="B179" s="325">
        <f t="shared" si="3"/>
        <v>2022</v>
      </c>
      <c r="C179" s="394">
        <v>44866</v>
      </c>
      <c r="D179" s="395">
        <v>327443</v>
      </c>
      <c r="E179" s="395">
        <v>103866</v>
      </c>
      <c r="F179" s="395">
        <v>704099</v>
      </c>
      <c r="G179" s="395">
        <v>109031</v>
      </c>
      <c r="H179" s="395">
        <v>45910</v>
      </c>
      <c r="I179" s="395"/>
      <c r="J179" s="395">
        <v>1290349</v>
      </c>
      <c r="K179" s="395">
        <v>121585</v>
      </c>
      <c r="L179" s="395">
        <v>81490</v>
      </c>
      <c r="M179" s="395">
        <v>584193</v>
      </c>
      <c r="N179" s="395">
        <v>63526</v>
      </c>
      <c r="O179" s="395">
        <v>46666</v>
      </c>
      <c r="P179" s="395"/>
      <c r="Q179" s="395">
        <v>897460</v>
      </c>
      <c r="R179" s="395">
        <v>449028</v>
      </c>
      <c r="S179" s="395">
        <v>185356</v>
      </c>
      <c r="T179" s="395">
        <v>1288292</v>
      </c>
      <c r="U179" s="395">
        <v>172557</v>
      </c>
      <c r="V179" s="395">
        <v>92576</v>
      </c>
      <c r="W179" s="396"/>
      <c r="X179" s="395">
        <v>2187809</v>
      </c>
      <c r="Y179" s="397"/>
    </row>
    <row r="180" spans="2:25" s="63" customFormat="1" ht="12.75" x14ac:dyDescent="0.2">
      <c r="B180" s="325">
        <f t="shared" si="3"/>
        <v>2022</v>
      </c>
      <c r="C180" s="394">
        <v>44896</v>
      </c>
      <c r="D180" s="395">
        <v>329180</v>
      </c>
      <c r="E180" s="395">
        <v>103979</v>
      </c>
      <c r="F180" s="395">
        <v>717919</v>
      </c>
      <c r="G180" s="395">
        <v>108989</v>
      </c>
      <c r="H180" s="395">
        <v>45881</v>
      </c>
      <c r="I180" s="395"/>
      <c r="J180" s="395">
        <v>1305948</v>
      </c>
      <c r="K180" s="395">
        <v>125728</v>
      </c>
      <c r="L180" s="395">
        <v>81605</v>
      </c>
      <c r="M180" s="395">
        <v>594890</v>
      </c>
      <c r="N180" s="395">
        <v>63190</v>
      </c>
      <c r="O180" s="395">
        <v>46817</v>
      </c>
      <c r="P180" s="395"/>
      <c r="Q180" s="395">
        <v>912230</v>
      </c>
      <c r="R180" s="395">
        <v>454908</v>
      </c>
      <c r="S180" s="395">
        <v>185584</v>
      </c>
      <c r="T180" s="395">
        <v>1312809</v>
      </c>
      <c r="U180" s="395">
        <v>172179</v>
      </c>
      <c r="V180" s="395">
        <v>92698</v>
      </c>
      <c r="W180" s="396"/>
      <c r="X180" s="395">
        <v>2218178</v>
      </c>
      <c r="Y180" s="397"/>
    </row>
    <row r="181" spans="2:25" s="63" customFormat="1" ht="12.75" x14ac:dyDescent="0.2">
      <c r="B181" s="325">
        <f t="shared" si="3"/>
        <v>2023</v>
      </c>
      <c r="C181" s="394">
        <v>44927</v>
      </c>
      <c r="D181" s="395">
        <v>331003</v>
      </c>
      <c r="E181" s="395">
        <v>104230</v>
      </c>
      <c r="F181" s="395">
        <v>729835</v>
      </c>
      <c r="G181" s="395">
        <v>108797</v>
      </c>
      <c r="H181" s="395">
        <v>46104</v>
      </c>
      <c r="I181" s="395"/>
      <c r="J181" s="395">
        <v>1319969</v>
      </c>
      <c r="K181" s="395">
        <v>126303</v>
      </c>
      <c r="L181" s="395">
        <v>81876</v>
      </c>
      <c r="M181" s="395">
        <v>605454</v>
      </c>
      <c r="N181" s="395">
        <v>62891</v>
      </c>
      <c r="O181" s="395">
        <v>47256</v>
      </c>
      <c r="P181" s="395"/>
      <c r="Q181" s="395">
        <v>923780</v>
      </c>
      <c r="R181" s="395">
        <v>457306</v>
      </c>
      <c r="S181" s="395">
        <v>186106</v>
      </c>
      <c r="T181" s="395">
        <v>1335289</v>
      </c>
      <c r="U181" s="395">
        <v>171688</v>
      </c>
      <c r="V181" s="395">
        <v>93360</v>
      </c>
      <c r="W181" s="396"/>
      <c r="X181" s="395">
        <v>2243749</v>
      </c>
      <c r="Y181" s="397"/>
    </row>
    <row r="182" spans="2:25" s="63" customFormat="1" ht="12.75" x14ac:dyDescent="0.2">
      <c r="B182" s="325">
        <f t="shared" si="3"/>
        <v>2023</v>
      </c>
      <c r="C182" s="394">
        <v>44958</v>
      </c>
      <c r="D182" s="395">
        <v>331827</v>
      </c>
      <c r="E182" s="395">
        <v>104475</v>
      </c>
      <c r="F182" s="395">
        <v>737271</v>
      </c>
      <c r="G182" s="395">
        <v>108645</v>
      </c>
      <c r="H182" s="395">
        <v>46210</v>
      </c>
      <c r="I182" s="395"/>
      <c r="J182" s="395">
        <v>1328428</v>
      </c>
      <c r="K182" s="395">
        <v>127315</v>
      </c>
      <c r="L182" s="395">
        <v>82037</v>
      </c>
      <c r="M182" s="395">
        <v>613433</v>
      </c>
      <c r="N182" s="395">
        <v>62678</v>
      </c>
      <c r="O182" s="395">
        <v>47542</v>
      </c>
      <c r="P182" s="395"/>
      <c r="Q182" s="395">
        <v>933005</v>
      </c>
      <c r="R182" s="395">
        <v>459142</v>
      </c>
      <c r="S182" s="395">
        <v>186512</v>
      </c>
      <c r="T182" s="395">
        <v>1350704</v>
      </c>
      <c r="U182" s="395">
        <v>171323</v>
      </c>
      <c r="V182" s="395">
        <v>93752</v>
      </c>
      <c r="W182" s="396"/>
      <c r="X182" s="395">
        <v>2261433</v>
      </c>
      <c r="Y182" s="397"/>
    </row>
    <row r="183" spans="2:25" s="63" customFormat="1" ht="12.75" x14ac:dyDescent="0.2">
      <c r="B183" s="325">
        <f t="shared" si="3"/>
        <v>2023</v>
      </c>
      <c r="C183" s="394">
        <v>44986</v>
      </c>
      <c r="D183" s="395">
        <v>332837</v>
      </c>
      <c r="E183" s="395">
        <v>104804</v>
      </c>
      <c r="F183" s="395">
        <v>745051</v>
      </c>
      <c r="G183" s="395">
        <v>108598</v>
      </c>
      <c r="H183" s="395">
        <v>46381</v>
      </c>
      <c r="I183" s="395"/>
      <c r="J183" s="395">
        <v>1337671</v>
      </c>
      <c r="K183" s="395">
        <v>128270</v>
      </c>
      <c r="L183" s="395">
        <v>82313</v>
      </c>
      <c r="M183" s="395">
        <v>620582</v>
      </c>
      <c r="N183" s="395">
        <v>62593</v>
      </c>
      <c r="O183" s="395">
        <v>47964</v>
      </c>
      <c r="P183" s="395"/>
      <c r="Q183" s="395">
        <v>941722</v>
      </c>
      <c r="R183" s="395">
        <v>461107</v>
      </c>
      <c r="S183" s="395">
        <v>187117</v>
      </c>
      <c r="T183" s="395">
        <v>1365633</v>
      </c>
      <c r="U183" s="395">
        <v>171191</v>
      </c>
      <c r="V183" s="395">
        <v>94345</v>
      </c>
      <c r="W183" s="396"/>
      <c r="X183" s="395">
        <v>2279393</v>
      </c>
      <c r="Y183" s="397"/>
    </row>
    <row r="184" spans="2:25" s="63" customFormat="1" ht="12.75" x14ac:dyDescent="0.2">
      <c r="B184" s="325">
        <f t="shared" si="3"/>
        <v>2023</v>
      </c>
      <c r="C184" s="394">
        <v>45017</v>
      </c>
      <c r="D184" s="395">
        <v>337867</v>
      </c>
      <c r="E184" s="395">
        <v>105039</v>
      </c>
      <c r="F184" s="395">
        <v>767130</v>
      </c>
      <c r="G184" s="395">
        <v>108605</v>
      </c>
      <c r="H184" s="395">
        <v>46538</v>
      </c>
      <c r="I184" s="395"/>
      <c r="J184" s="395">
        <v>1365179</v>
      </c>
      <c r="K184" s="395">
        <v>132828</v>
      </c>
      <c r="L184" s="395">
        <v>82539</v>
      </c>
      <c r="M184" s="395">
        <v>640210</v>
      </c>
      <c r="N184" s="395">
        <v>62459</v>
      </c>
      <c r="O184" s="395">
        <v>48252</v>
      </c>
      <c r="P184" s="395"/>
      <c r="Q184" s="395">
        <v>966288</v>
      </c>
      <c r="R184" s="395">
        <v>470695</v>
      </c>
      <c r="S184" s="395">
        <v>187578</v>
      </c>
      <c r="T184" s="395">
        <v>1407340</v>
      </c>
      <c r="U184" s="395">
        <v>171064</v>
      </c>
      <c r="V184" s="395">
        <v>94790</v>
      </c>
      <c r="W184" s="396"/>
      <c r="X184" s="395">
        <v>2331467</v>
      </c>
      <c r="Y184" s="397"/>
    </row>
    <row r="185" spans="2:25" s="63" customFormat="1" ht="12.75" x14ac:dyDescent="0.2">
      <c r="B185" s="325">
        <f t="shared" si="3"/>
        <v>2023</v>
      </c>
      <c r="C185" s="394">
        <v>45047</v>
      </c>
      <c r="D185" s="395">
        <v>339302</v>
      </c>
      <c r="E185" s="395">
        <v>105332</v>
      </c>
      <c r="F185" s="395">
        <v>774874</v>
      </c>
      <c r="G185" s="395">
        <v>108135</v>
      </c>
      <c r="H185" s="395">
        <v>46775</v>
      </c>
      <c r="I185" s="395"/>
      <c r="J185" s="395">
        <v>1374418</v>
      </c>
      <c r="K185" s="395">
        <v>136126</v>
      </c>
      <c r="L185" s="395">
        <v>82778</v>
      </c>
      <c r="M185" s="395">
        <v>645979</v>
      </c>
      <c r="N185" s="395">
        <v>62137</v>
      </c>
      <c r="O185" s="395">
        <v>48540</v>
      </c>
      <c r="P185" s="395"/>
      <c r="Q185" s="395">
        <v>975560</v>
      </c>
      <c r="R185" s="395">
        <v>475428</v>
      </c>
      <c r="S185" s="395">
        <v>188110</v>
      </c>
      <c r="T185" s="395">
        <v>1420853</v>
      </c>
      <c r="U185" s="395">
        <v>170272</v>
      </c>
      <c r="V185" s="395">
        <v>95315</v>
      </c>
      <c r="W185" s="396"/>
      <c r="X185" s="395">
        <v>2349978</v>
      </c>
      <c r="Y185" s="397"/>
    </row>
    <row r="186" spans="2:25" s="63" customFormat="1" ht="12.75" x14ac:dyDescent="0.2">
      <c r="B186" s="325">
        <f t="shared" si="3"/>
        <v>2023</v>
      </c>
      <c r="C186" s="399">
        <v>45078</v>
      </c>
      <c r="D186" s="400">
        <v>339850</v>
      </c>
      <c r="E186" s="400">
        <v>105767</v>
      </c>
      <c r="F186" s="400">
        <v>779821</v>
      </c>
      <c r="G186" s="400">
        <v>107841</v>
      </c>
      <c r="H186" s="400">
        <v>46987</v>
      </c>
      <c r="I186" s="400"/>
      <c r="J186" s="400">
        <v>1380266</v>
      </c>
      <c r="K186" s="400">
        <v>135689</v>
      </c>
      <c r="L186" s="400">
        <v>83130</v>
      </c>
      <c r="M186" s="400">
        <v>651738</v>
      </c>
      <c r="N186" s="400">
        <v>61932</v>
      </c>
      <c r="O186" s="400">
        <v>48880</v>
      </c>
      <c r="P186" s="400"/>
      <c r="Q186" s="400">
        <v>981369</v>
      </c>
      <c r="R186" s="400">
        <v>475539</v>
      </c>
      <c r="S186" s="400">
        <v>188897</v>
      </c>
      <c r="T186" s="400">
        <v>1431559</v>
      </c>
      <c r="U186" s="400">
        <v>169773</v>
      </c>
      <c r="V186" s="400">
        <v>95867</v>
      </c>
      <c r="W186" s="401"/>
      <c r="X186" s="400">
        <v>2361635</v>
      </c>
      <c r="Y186" s="402"/>
    </row>
    <row r="187" spans="2:25" s="63" customFormat="1" ht="12.75" x14ac:dyDescent="0.2">
      <c r="B187" s="325">
        <f t="shared" si="3"/>
        <v>2023</v>
      </c>
      <c r="C187" s="399">
        <v>45108</v>
      </c>
      <c r="D187" s="400">
        <v>340958</v>
      </c>
      <c r="E187" s="400">
        <v>106121</v>
      </c>
      <c r="F187" s="400">
        <v>785041</v>
      </c>
      <c r="G187" s="400">
        <v>107603</v>
      </c>
      <c r="H187" s="400">
        <v>47071</v>
      </c>
      <c r="I187" s="400"/>
      <c r="J187" s="400">
        <v>1386794</v>
      </c>
      <c r="K187" s="400">
        <v>136319</v>
      </c>
      <c r="L187" s="400">
        <v>83495</v>
      </c>
      <c r="M187" s="400">
        <v>656925</v>
      </c>
      <c r="N187" s="400">
        <v>61709</v>
      </c>
      <c r="O187" s="400">
        <v>49165</v>
      </c>
      <c r="P187" s="400"/>
      <c r="Q187" s="400">
        <v>987613</v>
      </c>
      <c r="R187" s="400">
        <v>477277</v>
      </c>
      <c r="S187" s="400">
        <v>189616</v>
      </c>
      <c r="T187" s="400">
        <v>1441966</v>
      </c>
      <c r="U187" s="400">
        <v>169312</v>
      </c>
      <c r="V187" s="400">
        <v>96236</v>
      </c>
      <c r="W187" s="401"/>
      <c r="X187" s="400">
        <v>2374407</v>
      </c>
      <c r="Y187" s="402"/>
    </row>
    <row r="188" spans="2:25" s="63" customFormat="1" ht="12.75" x14ac:dyDescent="0.2">
      <c r="B188" s="325">
        <f t="shared" si="3"/>
        <v>2023</v>
      </c>
      <c r="C188" s="399">
        <v>45139</v>
      </c>
      <c r="D188" s="400">
        <v>342010</v>
      </c>
      <c r="E188" s="400">
        <v>106570</v>
      </c>
      <c r="F188" s="400">
        <v>789396</v>
      </c>
      <c r="G188" s="400">
        <v>107495</v>
      </c>
      <c r="H188" s="400">
        <v>47164</v>
      </c>
      <c r="I188" s="400"/>
      <c r="J188" s="400">
        <v>1392635</v>
      </c>
      <c r="K188" s="400">
        <v>136198</v>
      </c>
      <c r="L188" s="400">
        <v>83812</v>
      </c>
      <c r="M188" s="400">
        <v>661702</v>
      </c>
      <c r="N188" s="400">
        <v>61425</v>
      </c>
      <c r="O188" s="400">
        <v>49448</v>
      </c>
      <c r="P188" s="400"/>
      <c r="Q188" s="400">
        <v>992585</v>
      </c>
      <c r="R188" s="400">
        <v>478208</v>
      </c>
      <c r="S188" s="400">
        <v>190382</v>
      </c>
      <c r="T188" s="400">
        <v>1451098</v>
      </c>
      <c r="U188" s="400">
        <v>168920</v>
      </c>
      <c r="V188" s="400">
        <v>96612</v>
      </c>
      <c r="W188" s="401"/>
      <c r="X188" s="400">
        <v>2385220</v>
      </c>
      <c r="Y188" s="402"/>
    </row>
    <row r="189" spans="2:25" s="63" customFormat="1" ht="12.75" x14ac:dyDescent="0.2">
      <c r="B189" s="325">
        <f t="shared" si="3"/>
        <v>2023</v>
      </c>
      <c r="C189" s="399">
        <v>45170</v>
      </c>
      <c r="D189" s="400">
        <v>343880</v>
      </c>
      <c r="E189" s="400">
        <v>106868</v>
      </c>
      <c r="F189" s="400">
        <v>795862</v>
      </c>
      <c r="G189" s="400">
        <v>107346</v>
      </c>
      <c r="H189" s="400">
        <v>47248</v>
      </c>
      <c r="I189" s="400"/>
      <c r="J189" s="400">
        <v>1401204</v>
      </c>
      <c r="K189" s="400">
        <v>138475</v>
      </c>
      <c r="L189" s="400">
        <v>84043</v>
      </c>
      <c r="M189" s="400">
        <v>666557</v>
      </c>
      <c r="N189" s="400">
        <v>61168</v>
      </c>
      <c r="O189" s="400">
        <v>49763</v>
      </c>
      <c r="P189" s="400"/>
      <c r="Q189" s="400">
        <v>1000006</v>
      </c>
      <c r="R189" s="400">
        <v>482355</v>
      </c>
      <c r="S189" s="400">
        <v>190911</v>
      </c>
      <c r="T189" s="400">
        <v>1462419</v>
      </c>
      <c r="U189" s="400">
        <v>168514</v>
      </c>
      <c r="V189" s="400">
        <v>97011</v>
      </c>
      <c r="W189" s="401"/>
      <c r="X189" s="400">
        <v>2401210</v>
      </c>
      <c r="Y189" s="402"/>
    </row>
    <row r="190" spans="2:25" s="63" customFormat="1" ht="12.75" x14ac:dyDescent="0.2">
      <c r="B190" s="325">
        <f t="shared" si="3"/>
        <v>2023</v>
      </c>
      <c r="C190" s="399">
        <v>45200</v>
      </c>
      <c r="D190" s="400">
        <v>344866</v>
      </c>
      <c r="E190" s="400">
        <v>107612</v>
      </c>
      <c r="F190" s="400">
        <v>801418</v>
      </c>
      <c r="G190" s="400">
        <v>106548</v>
      </c>
      <c r="H190" s="400">
        <v>47288</v>
      </c>
      <c r="I190" s="400"/>
      <c r="J190" s="400">
        <v>1407732</v>
      </c>
      <c r="K190" s="400">
        <v>139504</v>
      </c>
      <c r="L190" s="400">
        <v>84447</v>
      </c>
      <c r="M190" s="400">
        <v>670939</v>
      </c>
      <c r="N190" s="400">
        <v>60882</v>
      </c>
      <c r="O190" s="400">
        <v>49876</v>
      </c>
      <c r="P190" s="400"/>
      <c r="Q190" s="400">
        <v>1005648</v>
      </c>
      <c r="R190" s="400">
        <v>484370</v>
      </c>
      <c r="S190" s="400">
        <v>192059</v>
      </c>
      <c r="T190" s="400">
        <v>1472357</v>
      </c>
      <c r="U190" s="400">
        <v>167430</v>
      </c>
      <c r="V190" s="400">
        <v>97164</v>
      </c>
      <c r="W190" s="401"/>
      <c r="X190" s="400">
        <v>2413380</v>
      </c>
      <c r="Y190" s="402"/>
    </row>
    <row r="191" spans="2:25" s="63" customFormat="1" ht="12.75" x14ac:dyDescent="0.2">
      <c r="B191" s="325">
        <f t="shared" si="3"/>
        <v>2023</v>
      </c>
      <c r="C191" s="399">
        <v>45231</v>
      </c>
      <c r="D191" s="400">
        <v>343086</v>
      </c>
      <c r="E191" s="400">
        <v>107578</v>
      </c>
      <c r="F191" s="400">
        <v>810512</v>
      </c>
      <c r="G191" s="400">
        <v>106386</v>
      </c>
      <c r="H191" s="400">
        <v>47294</v>
      </c>
      <c r="I191" s="400"/>
      <c r="J191" s="400">
        <v>1414856</v>
      </c>
      <c r="K191" s="400">
        <v>139023</v>
      </c>
      <c r="L191" s="400">
        <v>84680</v>
      </c>
      <c r="M191" s="400">
        <v>678035</v>
      </c>
      <c r="N191" s="400">
        <v>60624</v>
      </c>
      <c r="O191" s="400">
        <v>49989</v>
      </c>
      <c r="P191" s="400"/>
      <c r="Q191" s="400">
        <v>1012351</v>
      </c>
      <c r="R191" s="400">
        <v>482109</v>
      </c>
      <c r="S191" s="400">
        <v>192258</v>
      </c>
      <c r="T191" s="400">
        <v>1488547</v>
      </c>
      <c r="U191" s="400">
        <v>167010</v>
      </c>
      <c r="V191" s="400">
        <v>97283</v>
      </c>
      <c r="W191" s="401"/>
      <c r="X191" s="400">
        <v>2427207</v>
      </c>
      <c r="Y191" s="402"/>
    </row>
    <row r="192" spans="2:25" s="63" customFormat="1" ht="12.75" x14ac:dyDescent="0.2">
      <c r="B192" s="325">
        <f t="shared" si="3"/>
        <v>2023</v>
      </c>
      <c r="C192" s="399">
        <v>45261</v>
      </c>
      <c r="D192" s="400">
        <v>339811</v>
      </c>
      <c r="E192" s="400">
        <v>107857</v>
      </c>
      <c r="F192" s="400">
        <v>818807</v>
      </c>
      <c r="G192" s="400">
        <v>105880</v>
      </c>
      <c r="H192" s="400">
        <v>47405</v>
      </c>
      <c r="I192" s="400"/>
      <c r="J192" s="400">
        <v>1419760</v>
      </c>
      <c r="K192" s="400">
        <v>131135</v>
      </c>
      <c r="L192" s="400">
        <v>84948</v>
      </c>
      <c r="M192" s="400">
        <v>690945</v>
      </c>
      <c r="N192" s="400">
        <v>60307</v>
      </c>
      <c r="O192" s="400">
        <v>50164</v>
      </c>
      <c r="P192" s="400"/>
      <c r="Q192" s="400">
        <v>1017499</v>
      </c>
      <c r="R192" s="400">
        <v>470946</v>
      </c>
      <c r="S192" s="400">
        <v>192805</v>
      </c>
      <c r="T192" s="400">
        <v>1509752</v>
      </c>
      <c r="U192" s="400">
        <v>166187</v>
      </c>
      <c r="V192" s="400">
        <v>97569</v>
      </c>
      <c r="W192" s="401"/>
      <c r="X192" s="400">
        <v>2437259</v>
      </c>
      <c r="Y192" s="402"/>
    </row>
    <row r="193" spans="2:25" s="63" customFormat="1" ht="12.75" x14ac:dyDescent="0.2">
      <c r="B193" s="325">
        <f t="shared" si="3"/>
        <v>2024</v>
      </c>
      <c r="C193" s="399">
        <v>45292</v>
      </c>
      <c r="D193" s="400">
        <v>341928</v>
      </c>
      <c r="E193" s="400">
        <v>108261</v>
      </c>
      <c r="F193" s="400">
        <v>824182</v>
      </c>
      <c r="G193" s="400">
        <v>105730</v>
      </c>
      <c r="H193" s="400">
        <v>47428</v>
      </c>
      <c r="I193" s="400"/>
      <c r="J193" s="400">
        <v>1427529</v>
      </c>
      <c r="K193" s="400">
        <v>131581</v>
      </c>
      <c r="L193" s="400">
        <v>85250</v>
      </c>
      <c r="M193" s="400">
        <v>696135</v>
      </c>
      <c r="N193" s="400">
        <v>60078</v>
      </c>
      <c r="O193" s="400">
        <v>50273</v>
      </c>
      <c r="P193" s="400"/>
      <c r="Q193" s="400">
        <v>1023317</v>
      </c>
      <c r="R193" s="400">
        <v>473509</v>
      </c>
      <c r="S193" s="400">
        <v>193511</v>
      </c>
      <c r="T193" s="400">
        <v>1520317</v>
      </c>
      <c r="U193" s="400">
        <v>165808</v>
      </c>
      <c r="V193" s="400">
        <v>97701</v>
      </c>
      <c r="W193" s="401"/>
      <c r="X193" s="400">
        <v>2450846</v>
      </c>
      <c r="Y193" s="402"/>
    </row>
    <row r="194" spans="2:25" s="63" customFormat="1" ht="12.75" x14ac:dyDescent="0.2">
      <c r="B194" s="325">
        <f t="shared" si="3"/>
        <v>2024</v>
      </c>
      <c r="C194" s="399">
        <v>45323</v>
      </c>
      <c r="D194" s="400">
        <v>342537</v>
      </c>
      <c r="E194" s="400">
        <v>108663</v>
      </c>
      <c r="F194" s="400">
        <v>829215</v>
      </c>
      <c r="G194" s="400">
        <v>105280</v>
      </c>
      <c r="H194" s="400">
        <v>47482</v>
      </c>
      <c r="I194" s="400"/>
      <c r="J194" s="400">
        <v>1433177</v>
      </c>
      <c r="K194" s="400">
        <v>132015</v>
      </c>
      <c r="L194" s="400">
        <v>85527</v>
      </c>
      <c r="M194" s="400">
        <v>701045</v>
      </c>
      <c r="N194" s="400">
        <v>59843</v>
      </c>
      <c r="O194" s="400">
        <v>50386</v>
      </c>
      <c r="P194" s="400"/>
      <c r="Q194" s="400">
        <v>1028816</v>
      </c>
      <c r="R194" s="400">
        <v>474552</v>
      </c>
      <c r="S194" s="400">
        <v>194190</v>
      </c>
      <c r="T194" s="400">
        <v>1530260</v>
      </c>
      <c r="U194" s="400">
        <v>165123</v>
      </c>
      <c r="V194" s="400">
        <v>97868</v>
      </c>
      <c r="W194" s="401"/>
      <c r="X194" s="400">
        <v>2461993</v>
      </c>
      <c r="Y194" s="402"/>
    </row>
    <row r="195" spans="2:25" s="63" customFormat="1" ht="12.75" x14ac:dyDescent="0.2">
      <c r="B195" s="325">
        <f t="shared" si="3"/>
        <v>2024</v>
      </c>
      <c r="C195" s="399">
        <v>45352</v>
      </c>
      <c r="D195" s="400">
        <v>342968</v>
      </c>
      <c r="E195" s="400">
        <v>109218</v>
      </c>
      <c r="F195" s="400">
        <v>835241</v>
      </c>
      <c r="G195" s="400">
        <v>105111</v>
      </c>
      <c r="H195" s="400">
        <v>47562</v>
      </c>
      <c r="I195" s="400"/>
      <c r="J195" s="400">
        <v>1440100</v>
      </c>
      <c r="K195" s="400">
        <v>132262</v>
      </c>
      <c r="L195" s="400">
        <v>85900</v>
      </c>
      <c r="M195" s="400">
        <v>707021</v>
      </c>
      <c r="N195" s="400">
        <v>59586</v>
      </c>
      <c r="O195" s="400">
        <v>50629</v>
      </c>
      <c r="P195" s="400"/>
      <c r="Q195" s="400">
        <v>1035398</v>
      </c>
      <c r="R195" s="400">
        <v>475230</v>
      </c>
      <c r="S195" s="400">
        <v>195118</v>
      </c>
      <c r="T195" s="400">
        <v>1542262</v>
      </c>
      <c r="U195" s="400">
        <v>164697</v>
      </c>
      <c r="V195" s="400">
        <v>98191</v>
      </c>
      <c r="W195" s="401"/>
      <c r="X195" s="400">
        <v>2475498</v>
      </c>
      <c r="Y195" s="402"/>
    </row>
    <row r="196" spans="2:25" s="63" customFormat="1" ht="12.75" x14ac:dyDescent="0.2">
      <c r="B196" s="325">
        <f t="shared" si="3"/>
        <v>2024</v>
      </c>
      <c r="C196" s="399">
        <v>45383</v>
      </c>
      <c r="D196" s="400">
        <v>343740</v>
      </c>
      <c r="E196" s="400">
        <v>109487</v>
      </c>
      <c r="F196" s="400">
        <v>840875</v>
      </c>
      <c r="G196" s="400">
        <v>104642</v>
      </c>
      <c r="H196" s="400">
        <v>47629</v>
      </c>
      <c r="I196" s="400"/>
      <c r="J196" s="400">
        <v>1446373</v>
      </c>
      <c r="K196" s="400">
        <v>132441</v>
      </c>
      <c r="L196" s="400">
        <v>86201</v>
      </c>
      <c r="M196" s="400">
        <v>712190</v>
      </c>
      <c r="N196" s="400">
        <v>59125</v>
      </c>
      <c r="O196" s="400">
        <v>50788</v>
      </c>
      <c r="P196" s="400"/>
      <c r="Q196" s="400">
        <v>1040745</v>
      </c>
      <c r="R196" s="400">
        <v>476181</v>
      </c>
      <c r="S196" s="400">
        <v>195688</v>
      </c>
      <c r="T196" s="400">
        <v>1553065</v>
      </c>
      <c r="U196" s="400">
        <v>163767</v>
      </c>
      <c r="V196" s="400">
        <v>98417</v>
      </c>
      <c r="W196" s="401"/>
      <c r="X196" s="400">
        <v>2487118</v>
      </c>
      <c r="Y196" s="402"/>
    </row>
    <row r="197" spans="2:25" s="63" customFormat="1" ht="12.75" x14ac:dyDescent="0.2">
      <c r="B197" s="325">
        <f t="shared" si="3"/>
        <v>2024</v>
      </c>
      <c r="C197" s="399">
        <v>45413</v>
      </c>
      <c r="D197" s="400">
        <v>344239</v>
      </c>
      <c r="E197" s="400">
        <v>109852</v>
      </c>
      <c r="F197" s="400">
        <v>846379</v>
      </c>
      <c r="G197" s="400">
        <v>104352</v>
      </c>
      <c r="H197" s="400">
        <v>47769</v>
      </c>
      <c r="I197" s="400"/>
      <c r="J197" s="400">
        <v>1452591</v>
      </c>
      <c r="K197" s="400">
        <v>132681</v>
      </c>
      <c r="L197" s="400">
        <v>86484</v>
      </c>
      <c r="M197" s="400">
        <v>717243</v>
      </c>
      <c r="N197" s="400">
        <v>58884</v>
      </c>
      <c r="O197" s="400">
        <v>51103</v>
      </c>
      <c r="P197" s="400"/>
      <c r="Q197" s="400">
        <v>1046395</v>
      </c>
      <c r="R197" s="400">
        <v>476920</v>
      </c>
      <c r="S197" s="400">
        <v>196336</v>
      </c>
      <c r="T197" s="400">
        <v>1563622</v>
      </c>
      <c r="U197" s="400">
        <v>163236</v>
      </c>
      <c r="V197" s="400">
        <v>98872</v>
      </c>
      <c r="W197" s="401"/>
      <c r="X197" s="400">
        <v>2498986</v>
      </c>
      <c r="Y197" s="402"/>
    </row>
    <row r="198" spans="2:25" s="63" customFormat="1" ht="12.75" x14ac:dyDescent="0.2">
      <c r="B198" s="325">
        <f t="shared" si="3"/>
        <v>2024</v>
      </c>
      <c r="C198" s="399">
        <v>45444</v>
      </c>
      <c r="D198" s="400">
        <v>343926</v>
      </c>
      <c r="E198" s="400">
        <v>110305</v>
      </c>
      <c r="F198" s="400">
        <v>850592</v>
      </c>
      <c r="G198" s="400">
        <v>104196</v>
      </c>
      <c r="H198" s="400">
        <v>47897</v>
      </c>
      <c r="I198" s="400"/>
      <c r="J198" s="400">
        <v>1456916</v>
      </c>
      <c r="K198" s="400">
        <v>132894</v>
      </c>
      <c r="L198" s="400">
        <v>86749</v>
      </c>
      <c r="M198" s="400">
        <v>720426</v>
      </c>
      <c r="N198" s="400">
        <v>58622</v>
      </c>
      <c r="O198" s="400">
        <v>51273</v>
      </c>
      <c r="P198" s="400"/>
      <c r="Q198" s="400">
        <v>1049964</v>
      </c>
      <c r="R198" s="400">
        <v>476820</v>
      </c>
      <c r="S198" s="400">
        <v>197054</v>
      </c>
      <c r="T198" s="400">
        <v>1571018</v>
      </c>
      <c r="U198" s="400">
        <v>162818</v>
      </c>
      <c r="V198" s="400">
        <v>99170</v>
      </c>
      <c r="W198" s="401"/>
      <c r="X198" s="400">
        <v>2506880</v>
      </c>
      <c r="Y198" s="402"/>
    </row>
    <row r="199" spans="2:25" s="63" customFormat="1" ht="12.75" x14ac:dyDescent="0.2">
      <c r="B199" s="325">
        <f t="shared" si="3"/>
        <v>2024</v>
      </c>
      <c r="C199" s="399">
        <v>45474</v>
      </c>
      <c r="D199" s="400">
        <v>348046</v>
      </c>
      <c r="E199" s="400">
        <v>110743</v>
      </c>
      <c r="F199" s="400">
        <v>856180</v>
      </c>
      <c r="G199" s="400">
        <v>104051</v>
      </c>
      <c r="H199" s="400">
        <v>47933</v>
      </c>
      <c r="I199" s="400"/>
      <c r="J199" s="400">
        <v>1466953</v>
      </c>
      <c r="K199" s="400">
        <v>133888</v>
      </c>
      <c r="L199" s="400">
        <v>87013</v>
      </c>
      <c r="M199" s="400">
        <v>728418</v>
      </c>
      <c r="N199" s="400">
        <v>58337</v>
      </c>
      <c r="O199" s="400">
        <v>51499</v>
      </c>
      <c r="P199" s="400"/>
      <c r="Q199" s="400">
        <v>1059155</v>
      </c>
      <c r="R199" s="400">
        <v>481934</v>
      </c>
      <c r="S199" s="400">
        <v>197756</v>
      </c>
      <c r="T199" s="400">
        <v>1584598</v>
      </c>
      <c r="U199" s="400">
        <v>162388</v>
      </c>
      <c r="V199" s="400">
        <v>99432</v>
      </c>
      <c r="W199" s="401"/>
      <c r="X199" s="400">
        <v>2526108</v>
      </c>
      <c r="Y199" s="402"/>
    </row>
    <row r="200" spans="2:25" s="63" customFormat="1" ht="12.75" x14ac:dyDescent="0.2">
      <c r="B200" s="325">
        <f t="shared" ref="B200:B216" si="4">+YEAR(C200)</f>
        <v>2024</v>
      </c>
      <c r="C200" s="399">
        <v>45505</v>
      </c>
      <c r="D200" s="400">
        <v>349176</v>
      </c>
      <c r="E200" s="400">
        <v>111054</v>
      </c>
      <c r="F200" s="400">
        <v>859346</v>
      </c>
      <c r="G200" s="400">
        <v>103719</v>
      </c>
      <c r="H200" s="400">
        <v>48030</v>
      </c>
      <c r="I200" s="400"/>
      <c r="J200" s="400">
        <v>1471325</v>
      </c>
      <c r="K200" s="400">
        <v>134137</v>
      </c>
      <c r="L200" s="400">
        <v>87337</v>
      </c>
      <c r="M200" s="400">
        <v>731265</v>
      </c>
      <c r="N200" s="400">
        <v>57968</v>
      </c>
      <c r="O200" s="400">
        <v>51610</v>
      </c>
      <c r="P200" s="400"/>
      <c r="Q200" s="400">
        <v>1062317</v>
      </c>
      <c r="R200" s="400">
        <v>483313</v>
      </c>
      <c r="S200" s="400">
        <v>198391</v>
      </c>
      <c r="T200" s="400">
        <v>1590611</v>
      </c>
      <c r="U200" s="400">
        <v>161687</v>
      </c>
      <c r="V200" s="400">
        <v>99640</v>
      </c>
      <c r="W200" s="401"/>
      <c r="X200" s="400">
        <v>2533642</v>
      </c>
      <c r="Y200" s="402"/>
    </row>
    <row r="201" spans="2:25" s="63" customFormat="1" ht="12.75" x14ac:dyDescent="0.2">
      <c r="B201" s="325">
        <f t="shared" si="4"/>
        <v>2024</v>
      </c>
      <c r="C201" s="403" t="s">
        <v>599</v>
      </c>
      <c r="D201" s="400">
        <v>420895</v>
      </c>
      <c r="E201" s="400">
        <v>111277</v>
      </c>
      <c r="F201" s="400">
        <v>792093</v>
      </c>
      <c r="G201" s="400">
        <v>103429</v>
      </c>
      <c r="H201" s="400">
        <v>48029</v>
      </c>
      <c r="I201" s="400"/>
      <c r="J201" s="400">
        <v>1475723</v>
      </c>
      <c r="K201" s="400">
        <v>167174</v>
      </c>
      <c r="L201" s="400">
        <v>87585</v>
      </c>
      <c r="M201" s="400">
        <v>702144</v>
      </c>
      <c r="N201" s="400">
        <v>57557</v>
      </c>
      <c r="O201" s="400">
        <v>51658</v>
      </c>
      <c r="P201" s="400"/>
      <c r="Q201" s="400">
        <v>1066118</v>
      </c>
      <c r="R201" s="400">
        <v>588069</v>
      </c>
      <c r="S201" s="400">
        <v>198862</v>
      </c>
      <c r="T201" s="400">
        <v>1494237</v>
      </c>
      <c r="U201" s="400">
        <v>160986</v>
      </c>
      <c r="V201" s="400">
        <v>99687</v>
      </c>
      <c r="W201" s="401"/>
      <c r="X201" s="400">
        <v>2541841</v>
      </c>
      <c r="Y201" s="402"/>
    </row>
    <row r="202" spans="2:25" s="63" customFormat="1" ht="12.75" x14ac:dyDescent="0.2">
      <c r="B202" s="325">
        <f t="shared" si="4"/>
        <v>2024</v>
      </c>
      <c r="C202" s="403">
        <v>45566</v>
      </c>
      <c r="D202" s="400">
        <v>422558</v>
      </c>
      <c r="E202" s="400">
        <v>111448</v>
      </c>
      <c r="F202" s="400">
        <v>796036</v>
      </c>
      <c r="G202" s="400">
        <v>103247</v>
      </c>
      <c r="H202" s="400">
        <v>48144</v>
      </c>
      <c r="I202" s="400"/>
      <c r="J202" s="400">
        <v>1481433</v>
      </c>
      <c r="K202" s="400">
        <v>167653</v>
      </c>
      <c r="L202" s="400">
        <v>87807</v>
      </c>
      <c r="M202" s="400">
        <v>706255</v>
      </c>
      <c r="N202" s="400">
        <v>57296</v>
      </c>
      <c r="O202" s="400">
        <v>51894</v>
      </c>
      <c r="P202" s="400"/>
      <c r="Q202" s="400">
        <v>1070905</v>
      </c>
      <c r="R202" s="400">
        <v>590211</v>
      </c>
      <c r="S202" s="400">
        <v>199255</v>
      </c>
      <c r="T202" s="400">
        <v>1502291</v>
      </c>
      <c r="U202" s="400">
        <v>160543</v>
      </c>
      <c r="V202" s="400">
        <v>100038</v>
      </c>
      <c r="W202" s="401"/>
      <c r="X202" s="400">
        <v>2552338</v>
      </c>
      <c r="Y202" s="402"/>
    </row>
    <row r="203" spans="2:25" s="63" customFormat="1" ht="12.75" x14ac:dyDescent="0.2">
      <c r="B203" s="325">
        <f t="shared" si="4"/>
        <v>2024</v>
      </c>
      <c r="C203" s="403">
        <v>45597</v>
      </c>
      <c r="D203" s="400">
        <v>425096</v>
      </c>
      <c r="E203" s="400">
        <v>111608</v>
      </c>
      <c r="F203" s="400">
        <v>799691</v>
      </c>
      <c r="G203" s="400">
        <v>102719</v>
      </c>
      <c r="H203" s="400">
        <v>48184</v>
      </c>
      <c r="I203" s="400"/>
      <c r="J203" s="400">
        <v>1487298</v>
      </c>
      <c r="K203" s="400">
        <v>168531</v>
      </c>
      <c r="L203" s="400">
        <v>88047</v>
      </c>
      <c r="M203" s="400">
        <v>711014</v>
      </c>
      <c r="N203" s="400">
        <v>57030</v>
      </c>
      <c r="O203" s="400">
        <v>52111</v>
      </c>
      <c r="P203" s="400"/>
      <c r="Q203" s="400">
        <v>1076733</v>
      </c>
      <c r="R203" s="400">
        <v>593627</v>
      </c>
      <c r="S203" s="400">
        <v>199655</v>
      </c>
      <c r="T203" s="400">
        <v>1510705</v>
      </c>
      <c r="U203" s="400">
        <v>159749</v>
      </c>
      <c r="V203" s="400">
        <v>100295</v>
      </c>
      <c r="W203" s="401"/>
      <c r="X203" s="400">
        <v>2564031</v>
      </c>
      <c r="Y203" s="402"/>
    </row>
    <row r="204" spans="2:25" s="63" customFormat="1" ht="12.75" x14ac:dyDescent="0.2">
      <c r="B204" s="325">
        <f t="shared" si="4"/>
        <v>2024</v>
      </c>
      <c r="C204" s="403">
        <v>45627</v>
      </c>
      <c r="D204" s="400">
        <v>425703</v>
      </c>
      <c r="E204" s="400">
        <v>111828</v>
      </c>
      <c r="F204" s="400">
        <v>804472</v>
      </c>
      <c r="G204" s="400">
        <v>102565</v>
      </c>
      <c r="H204" s="400">
        <v>48256</v>
      </c>
      <c r="I204" s="400"/>
      <c r="J204" s="400">
        <v>1492824</v>
      </c>
      <c r="K204" s="400">
        <v>169115</v>
      </c>
      <c r="L204" s="400">
        <v>88198</v>
      </c>
      <c r="M204" s="400">
        <v>716484</v>
      </c>
      <c r="N204" s="400">
        <v>56788</v>
      </c>
      <c r="O204" s="400">
        <v>52224</v>
      </c>
      <c r="P204" s="400"/>
      <c r="Q204" s="400">
        <v>1082809</v>
      </c>
      <c r="R204" s="400">
        <v>594818</v>
      </c>
      <c r="S204" s="400">
        <v>200026</v>
      </c>
      <c r="T204" s="400">
        <v>1520956</v>
      </c>
      <c r="U204" s="400">
        <v>159353</v>
      </c>
      <c r="V204" s="400">
        <v>100480</v>
      </c>
      <c r="W204" s="401"/>
      <c r="X204" s="400">
        <v>2575633</v>
      </c>
      <c r="Y204" s="402"/>
    </row>
    <row r="205" spans="2:25" s="63" customFormat="1" ht="12.75" x14ac:dyDescent="0.2">
      <c r="B205" s="325">
        <f t="shared" si="4"/>
        <v>2025</v>
      </c>
      <c r="C205" s="403">
        <v>45658</v>
      </c>
      <c r="D205" s="400">
        <v>426301</v>
      </c>
      <c r="E205" s="400">
        <v>112123</v>
      </c>
      <c r="F205" s="400">
        <v>807566</v>
      </c>
      <c r="G205" s="400">
        <v>102346</v>
      </c>
      <c r="H205" s="400">
        <v>48240</v>
      </c>
      <c r="I205" s="400"/>
      <c r="J205" s="400">
        <v>1496576</v>
      </c>
      <c r="K205" s="400">
        <v>169484</v>
      </c>
      <c r="L205" s="400">
        <v>88430</v>
      </c>
      <c r="M205" s="400">
        <v>720599</v>
      </c>
      <c r="N205" s="400">
        <v>56471</v>
      </c>
      <c r="O205" s="400">
        <v>52343</v>
      </c>
      <c r="P205" s="400"/>
      <c r="Q205" s="400">
        <v>1087327</v>
      </c>
      <c r="R205" s="400">
        <v>595785</v>
      </c>
      <c r="S205" s="400">
        <v>200553</v>
      </c>
      <c r="T205" s="400">
        <v>1528165</v>
      </c>
      <c r="U205" s="400">
        <v>158817</v>
      </c>
      <c r="V205" s="400">
        <v>100583</v>
      </c>
      <c r="W205" s="400"/>
      <c r="X205" s="400">
        <v>2583903</v>
      </c>
      <c r="Y205" s="402"/>
    </row>
    <row r="206" spans="2:25" ht="12.75" x14ac:dyDescent="0.2">
      <c r="B206" s="325">
        <f t="shared" si="4"/>
        <v>2025</v>
      </c>
      <c r="C206" s="403">
        <v>45689</v>
      </c>
      <c r="D206" s="400">
        <v>426176</v>
      </c>
      <c r="E206" s="400">
        <v>112455</v>
      </c>
      <c r="F206" s="400">
        <v>810298</v>
      </c>
      <c r="G206" s="400">
        <v>102035</v>
      </c>
      <c r="H206" s="400">
        <v>48282</v>
      </c>
      <c r="I206" s="400"/>
      <c r="J206" s="400">
        <v>1499246</v>
      </c>
      <c r="K206" s="400">
        <v>169446</v>
      </c>
      <c r="L206" s="400">
        <v>88597</v>
      </c>
      <c r="M206" s="400">
        <v>723992</v>
      </c>
      <c r="N206" s="400">
        <v>56244</v>
      </c>
      <c r="O206" s="400">
        <v>52478</v>
      </c>
      <c r="P206" s="400"/>
      <c r="Q206" s="400">
        <v>1090757</v>
      </c>
      <c r="R206" s="400">
        <v>595622</v>
      </c>
      <c r="S206" s="400">
        <v>201052</v>
      </c>
      <c r="T206" s="400">
        <v>1534290</v>
      </c>
      <c r="U206" s="400">
        <v>158279</v>
      </c>
      <c r="V206" s="400">
        <v>100760</v>
      </c>
      <c r="W206" s="400"/>
      <c r="X206" s="400">
        <v>2590003</v>
      </c>
    </row>
    <row r="207" spans="2:25" ht="12.75" x14ac:dyDescent="0.2">
      <c r="B207" s="325">
        <f t="shared" si="4"/>
        <v>2025</v>
      </c>
      <c r="C207" s="403">
        <v>45717</v>
      </c>
      <c r="D207" s="400">
        <v>428094</v>
      </c>
      <c r="E207" s="400">
        <v>112805</v>
      </c>
      <c r="F207" s="400">
        <v>814418</v>
      </c>
      <c r="G207" s="400">
        <v>101883</v>
      </c>
      <c r="H207" s="400">
        <v>48520</v>
      </c>
      <c r="I207" s="400"/>
      <c r="J207" s="400">
        <v>1505720</v>
      </c>
      <c r="K207" s="400">
        <v>169783</v>
      </c>
      <c r="L207" s="400">
        <v>88940</v>
      </c>
      <c r="M207" s="400">
        <v>727988</v>
      </c>
      <c r="N207" s="400">
        <v>56032</v>
      </c>
      <c r="O207" s="400">
        <v>52814</v>
      </c>
      <c r="P207" s="400"/>
      <c r="Q207" s="400">
        <v>1095557</v>
      </c>
      <c r="R207" s="400">
        <v>597877</v>
      </c>
      <c r="S207" s="400">
        <v>201745</v>
      </c>
      <c r="T207" s="400">
        <v>1542406</v>
      </c>
      <c r="U207" s="400">
        <v>157915</v>
      </c>
      <c r="V207" s="400">
        <v>101334</v>
      </c>
      <c r="W207" s="400"/>
      <c r="X207" s="400">
        <v>2601277</v>
      </c>
    </row>
    <row r="208" spans="2:25" ht="12.75" x14ac:dyDescent="0.2">
      <c r="B208" s="325">
        <f t="shared" si="4"/>
        <v>2025</v>
      </c>
      <c r="C208" s="403">
        <v>45748</v>
      </c>
      <c r="D208" s="400">
        <v>429825</v>
      </c>
      <c r="E208" s="400">
        <v>113101</v>
      </c>
      <c r="F208" s="400">
        <v>819751</v>
      </c>
      <c r="G208" s="400">
        <v>101748</v>
      </c>
      <c r="H208" s="400">
        <v>48625</v>
      </c>
      <c r="I208" s="400"/>
      <c r="J208" s="400">
        <v>1513050</v>
      </c>
      <c r="K208" s="400">
        <v>169864</v>
      </c>
      <c r="L208" s="400">
        <v>89160</v>
      </c>
      <c r="M208" s="400">
        <v>732331</v>
      </c>
      <c r="N208" s="400">
        <v>55811</v>
      </c>
      <c r="O208" s="400">
        <v>53056</v>
      </c>
      <c r="P208" s="400"/>
      <c r="Q208" s="400">
        <v>1100222</v>
      </c>
      <c r="R208" s="400">
        <v>599689</v>
      </c>
      <c r="S208" s="400">
        <v>202261</v>
      </c>
      <c r="T208" s="400">
        <v>1552082</v>
      </c>
      <c r="U208" s="400">
        <v>157559</v>
      </c>
      <c r="V208" s="400">
        <v>101681</v>
      </c>
      <c r="W208" s="400"/>
      <c r="X208" s="400">
        <v>2613272</v>
      </c>
    </row>
    <row r="209" spans="2:24" ht="12.75" x14ac:dyDescent="0.2">
      <c r="B209" s="325">
        <f t="shared" si="4"/>
        <v>2025</v>
      </c>
      <c r="C209" s="403">
        <v>45778</v>
      </c>
      <c r="D209" s="400">
        <v>430627</v>
      </c>
      <c r="E209" s="400">
        <v>113189</v>
      </c>
      <c r="F209" s="400">
        <v>823411</v>
      </c>
      <c r="G209" s="400">
        <v>101219</v>
      </c>
      <c r="H209" s="400">
        <v>48730</v>
      </c>
      <c r="I209" s="400"/>
      <c r="J209" s="400">
        <v>1517176</v>
      </c>
      <c r="K209" s="400">
        <v>169940</v>
      </c>
      <c r="L209" s="400">
        <v>89295</v>
      </c>
      <c r="M209" s="400">
        <v>735920</v>
      </c>
      <c r="N209" s="400">
        <v>55561</v>
      </c>
      <c r="O209" s="400">
        <v>53330</v>
      </c>
      <c r="P209" s="400"/>
      <c r="Q209" s="400">
        <v>1104046</v>
      </c>
      <c r="R209" s="400">
        <v>600567</v>
      </c>
      <c r="S209" s="400">
        <v>202484</v>
      </c>
      <c r="T209" s="400">
        <v>1559331</v>
      </c>
      <c r="U209" s="400">
        <v>156780</v>
      </c>
      <c r="V209" s="400">
        <v>102060</v>
      </c>
      <c r="W209" s="400"/>
      <c r="X209" s="400">
        <v>2621222</v>
      </c>
    </row>
    <row r="210" spans="2:24" ht="12.75" x14ac:dyDescent="0.2">
      <c r="B210" s="325">
        <f t="shared" si="4"/>
        <v>2025</v>
      </c>
      <c r="C210" s="403">
        <v>45809</v>
      </c>
      <c r="D210" s="400">
        <v>431432</v>
      </c>
      <c r="E210" s="400">
        <v>113322</v>
      </c>
      <c r="F210" s="400">
        <v>827199</v>
      </c>
      <c r="G210" s="400">
        <v>101066</v>
      </c>
      <c r="H210" s="400">
        <v>48955</v>
      </c>
      <c r="I210" s="400"/>
      <c r="J210" s="400">
        <v>1521974</v>
      </c>
      <c r="K210" s="400">
        <v>170121</v>
      </c>
      <c r="L210" s="400">
        <v>89452</v>
      </c>
      <c r="M210" s="400">
        <v>738794</v>
      </c>
      <c r="N210" s="400">
        <v>55299</v>
      </c>
      <c r="O210" s="400">
        <v>53639</v>
      </c>
      <c r="P210" s="400"/>
      <c r="Q210" s="400">
        <v>1107305</v>
      </c>
      <c r="R210" s="400">
        <v>601553</v>
      </c>
      <c r="S210" s="400">
        <v>202774</v>
      </c>
      <c r="T210" s="400">
        <v>1565993</v>
      </c>
      <c r="U210" s="400">
        <v>156365</v>
      </c>
      <c r="V210" s="400">
        <v>102594</v>
      </c>
      <c r="W210" s="400"/>
      <c r="X210" s="400">
        <v>2629279</v>
      </c>
    </row>
    <row r="211" spans="2:24" ht="12.75" x14ac:dyDescent="0.2">
      <c r="B211" s="325">
        <f t="shared" si="4"/>
        <v>2025</v>
      </c>
      <c r="C211" s="403">
        <v>45839</v>
      </c>
      <c r="D211" s="400">
        <v>431681</v>
      </c>
      <c r="E211" s="400">
        <v>113481</v>
      </c>
      <c r="F211" s="400">
        <v>830726</v>
      </c>
      <c r="G211" s="400">
        <v>100880</v>
      </c>
      <c r="H211" s="400">
        <v>49127</v>
      </c>
      <c r="I211" s="400"/>
      <c r="J211" s="400">
        <v>1525895</v>
      </c>
      <c r="K211" s="400">
        <v>170094</v>
      </c>
      <c r="L211" s="400">
        <v>89610</v>
      </c>
      <c r="M211" s="400">
        <v>742364</v>
      </c>
      <c r="N211" s="400">
        <v>55003</v>
      </c>
      <c r="O211" s="400">
        <v>53948</v>
      </c>
      <c r="P211" s="400"/>
      <c r="Q211" s="400">
        <v>1111019</v>
      </c>
      <c r="R211" s="400">
        <v>601775</v>
      </c>
      <c r="S211" s="400">
        <v>203091</v>
      </c>
      <c r="T211" s="400">
        <v>1573090</v>
      </c>
      <c r="U211" s="400">
        <v>155883</v>
      </c>
      <c r="V211" s="400">
        <v>103075</v>
      </c>
      <c r="W211" s="400"/>
      <c r="X211" s="400">
        <v>2636914</v>
      </c>
    </row>
    <row r="212" spans="2:24" ht="12.75" x14ac:dyDescent="0.2">
      <c r="B212" s="325">
        <f t="shared" si="4"/>
        <v>2025</v>
      </c>
      <c r="C212" s="403">
        <v>45870</v>
      </c>
      <c r="D212" s="400">
        <v>434266</v>
      </c>
      <c r="E212" s="400">
        <v>113717</v>
      </c>
      <c r="F212" s="400">
        <v>835749</v>
      </c>
      <c r="G212" s="400">
        <v>100540</v>
      </c>
      <c r="H212" s="400">
        <v>49178</v>
      </c>
      <c r="I212" s="400"/>
      <c r="J212" s="400">
        <v>1533450</v>
      </c>
      <c r="K212" s="400">
        <v>170833</v>
      </c>
      <c r="L212" s="400">
        <v>89780</v>
      </c>
      <c r="M212" s="400">
        <v>747090</v>
      </c>
      <c r="N212" s="400">
        <v>54705</v>
      </c>
      <c r="O212" s="400">
        <v>54066</v>
      </c>
      <c r="P212" s="400"/>
      <c r="Q212" s="400">
        <v>1116474</v>
      </c>
      <c r="R212" s="400">
        <v>605099</v>
      </c>
      <c r="S212" s="400">
        <v>203497</v>
      </c>
      <c r="T212" s="400">
        <v>1582839</v>
      </c>
      <c r="U212" s="400">
        <v>155245</v>
      </c>
      <c r="V212" s="400">
        <v>103244</v>
      </c>
      <c r="W212" s="400"/>
      <c r="X212" s="400">
        <v>2649924</v>
      </c>
    </row>
    <row r="213" spans="2:24" ht="12.75" x14ac:dyDescent="0.2">
      <c r="B213" s="325">
        <f t="shared" si="4"/>
        <v>2025</v>
      </c>
      <c r="C213" s="403">
        <v>45901</v>
      </c>
      <c r="D213" s="400">
        <v>436201</v>
      </c>
      <c r="E213" s="400">
        <v>113956</v>
      </c>
      <c r="F213" s="400">
        <v>841069</v>
      </c>
      <c r="G213" s="400">
        <v>100402</v>
      </c>
      <c r="H213" s="400">
        <v>49365</v>
      </c>
      <c r="I213" s="400"/>
      <c r="J213" s="400">
        <v>1540993</v>
      </c>
      <c r="K213" s="400">
        <v>175808</v>
      </c>
      <c r="L213" s="400">
        <v>90023</v>
      </c>
      <c r="M213" s="400">
        <v>752530</v>
      </c>
      <c r="N213" s="400">
        <v>54454</v>
      </c>
      <c r="O213" s="400">
        <v>54369</v>
      </c>
      <c r="P213" s="400"/>
      <c r="Q213" s="400">
        <v>1127184</v>
      </c>
      <c r="R213" s="400">
        <v>612009</v>
      </c>
      <c r="S213" s="400">
        <v>203979</v>
      </c>
      <c r="T213" s="400">
        <v>1593599</v>
      </c>
      <c r="U213" s="400">
        <v>154856</v>
      </c>
      <c r="V213" s="400">
        <v>103734</v>
      </c>
      <c r="W213" s="400"/>
      <c r="X213" s="400">
        <v>2668177</v>
      </c>
    </row>
    <row r="214" spans="2:24" ht="12.75" x14ac:dyDescent="0.2">
      <c r="B214" s="325">
        <f t="shared" si="4"/>
        <v>2025</v>
      </c>
      <c r="C214" s="403">
        <v>45931</v>
      </c>
      <c r="D214" s="400">
        <v>438136</v>
      </c>
      <c r="E214" s="400">
        <v>113795</v>
      </c>
      <c r="F214" s="400">
        <v>846485</v>
      </c>
      <c r="G214" s="400">
        <v>100235</v>
      </c>
      <c r="H214" s="400">
        <v>49405</v>
      </c>
      <c r="I214" s="400"/>
      <c r="J214" s="400">
        <v>1548056</v>
      </c>
      <c r="K214" s="400">
        <v>177310</v>
      </c>
      <c r="L214" s="400">
        <v>90033</v>
      </c>
      <c r="M214" s="400">
        <v>756106</v>
      </c>
      <c r="N214" s="400">
        <v>54197</v>
      </c>
      <c r="O214" s="400">
        <v>54473</v>
      </c>
      <c r="P214" s="400"/>
      <c r="Q214" s="400">
        <v>1132119</v>
      </c>
      <c r="R214" s="400">
        <v>615446</v>
      </c>
      <c r="S214" s="400">
        <v>203828</v>
      </c>
      <c r="T214" s="400">
        <v>1602591</v>
      </c>
      <c r="U214" s="400">
        <v>154432</v>
      </c>
      <c r="V214" s="400">
        <v>103878</v>
      </c>
      <c r="W214" s="400"/>
      <c r="X214" s="400">
        <v>2680175</v>
      </c>
    </row>
    <row r="215" spans="2:24" ht="12.75" x14ac:dyDescent="0.2">
      <c r="B215" s="325">
        <f t="shared" si="4"/>
        <v>2025</v>
      </c>
      <c r="C215" s="403">
        <v>45962</v>
      </c>
      <c r="D215" s="400">
        <v>438132</v>
      </c>
      <c r="E215" s="400">
        <v>113986</v>
      </c>
      <c r="F215" s="400">
        <v>850210</v>
      </c>
      <c r="G215" s="400">
        <v>99979</v>
      </c>
      <c r="H215" s="400">
        <v>49451</v>
      </c>
      <c r="I215" s="400"/>
      <c r="J215" s="400">
        <v>1551758</v>
      </c>
      <c r="K215" s="400">
        <v>177499</v>
      </c>
      <c r="L215" s="400">
        <v>90206</v>
      </c>
      <c r="M215" s="400">
        <v>759260</v>
      </c>
      <c r="N215" s="400">
        <v>53955</v>
      </c>
      <c r="O215" s="400">
        <v>54449</v>
      </c>
      <c r="P215" s="400"/>
      <c r="Q215" s="400">
        <v>1135369</v>
      </c>
      <c r="R215" s="400">
        <v>615631</v>
      </c>
      <c r="S215" s="400">
        <v>204192</v>
      </c>
      <c r="T215" s="400">
        <v>1609470</v>
      </c>
      <c r="U215" s="400">
        <v>153934</v>
      </c>
      <c r="V215" s="400">
        <v>103900</v>
      </c>
      <c r="W215" s="400"/>
      <c r="X215" s="400">
        <v>2687127</v>
      </c>
    </row>
    <row r="216" spans="2:24" ht="12.75" x14ac:dyDescent="0.2">
      <c r="B216" s="325">
        <f t="shared" si="4"/>
        <v>2025</v>
      </c>
      <c r="C216" s="403">
        <v>45992</v>
      </c>
      <c r="D216" s="400">
        <v>440080</v>
      </c>
      <c r="E216" s="400">
        <v>114124</v>
      </c>
      <c r="F216" s="400">
        <v>857883</v>
      </c>
      <c r="G216" s="400">
        <v>99762</v>
      </c>
      <c r="H216" s="400">
        <v>49779</v>
      </c>
      <c r="I216" s="400"/>
      <c r="J216" s="400">
        <v>1561628</v>
      </c>
      <c r="K216" s="400">
        <v>179441</v>
      </c>
      <c r="L216" s="400">
        <v>90346</v>
      </c>
      <c r="M216" s="400">
        <v>765717</v>
      </c>
      <c r="N216" s="400">
        <v>53695</v>
      </c>
      <c r="O216" s="400">
        <v>54920</v>
      </c>
      <c r="P216" s="400"/>
      <c r="Q216" s="400">
        <v>1144119</v>
      </c>
      <c r="R216" s="400">
        <v>619521</v>
      </c>
      <c r="S216" s="400">
        <v>204470</v>
      </c>
      <c r="T216" s="400">
        <v>1623600</v>
      </c>
      <c r="U216" s="400">
        <v>153457</v>
      </c>
      <c r="V216" s="400">
        <v>104699</v>
      </c>
      <c r="W216" s="400"/>
      <c r="X216" s="400">
        <v>2705747</v>
      </c>
    </row>
  </sheetData>
  <mergeCells count="5">
    <mergeCell ref="B5:B6"/>
    <mergeCell ref="C5:C6"/>
    <mergeCell ref="D5:J5"/>
    <mergeCell ref="K5:Q5"/>
    <mergeCell ref="R5:X5"/>
  </mergeCells>
  <hyperlinks>
    <hyperlink ref="B3" r:id="rId1" display="Archivo serie_pilar1 - 1. Monto total en $MM de beneficios del Pilar Solidario y PGU pagados, según sexo, tipo de beneficio y mes de pago" xr:uid="{EB78B034-D247-4612-9F33-663AFC09FA71}"/>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DEBBB-BA01-40D9-AD85-FFFC24AF3DC1}">
  <sheetPr>
    <tabColor theme="3" tint="-0.249977111117893"/>
  </sheetPr>
  <dimension ref="B1:AK216"/>
  <sheetViews>
    <sheetView showGridLines="0" topLeftCell="P1" workbookViewId="0">
      <selection activeCell="AD1" sqref="AD1:AD1048576"/>
    </sheetView>
    <sheetView workbookViewId="1"/>
  </sheetViews>
  <sheetFormatPr baseColWidth="10" defaultColWidth="11.42578125" defaultRowHeight="11.25" x14ac:dyDescent="0.2"/>
  <cols>
    <col min="1" max="1" width="4.7109375" style="381" customWidth="1"/>
    <col min="2" max="2" width="8.7109375" style="381" customWidth="1"/>
    <col min="3" max="3" width="11.5703125" style="382" bestFit="1" customWidth="1"/>
    <col min="4" max="22" width="10.7109375" style="382" customWidth="1"/>
    <col min="23" max="23" width="10.7109375" style="404" customWidth="1"/>
    <col min="24" max="27" width="10.7109375" style="382" customWidth="1"/>
    <col min="28" max="33" width="11.42578125" style="381"/>
    <col min="34" max="34" width="11.7109375" style="381" bestFit="1" customWidth="1"/>
    <col min="35" max="261" width="11.42578125" style="381"/>
    <col min="262" max="262" width="11.5703125" style="381" bestFit="1" customWidth="1"/>
    <col min="263" max="283" width="10.7109375" style="381" customWidth="1"/>
    <col min="284" max="517" width="11.42578125" style="381"/>
    <col min="518" max="518" width="11.5703125" style="381" bestFit="1" customWidth="1"/>
    <col min="519" max="539" width="10.7109375" style="381" customWidth="1"/>
    <col min="540" max="773" width="11.42578125" style="381"/>
    <col min="774" max="774" width="11.5703125" style="381" bestFit="1" customWidth="1"/>
    <col min="775" max="795" width="10.7109375" style="381" customWidth="1"/>
    <col min="796" max="1029" width="11.42578125" style="381"/>
    <col min="1030" max="1030" width="11.5703125" style="381" bestFit="1" customWidth="1"/>
    <col min="1031" max="1051" width="10.7109375" style="381" customWidth="1"/>
    <col min="1052" max="1285" width="11.42578125" style="381"/>
    <col min="1286" max="1286" width="11.5703125" style="381" bestFit="1" customWidth="1"/>
    <col min="1287" max="1307" width="10.7109375" style="381" customWidth="1"/>
    <col min="1308" max="1541" width="11.42578125" style="381"/>
    <col min="1542" max="1542" width="11.5703125" style="381" bestFit="1" customWidth="1"/>
    <col min="1543" max="1563" width="10.7109375" style="381" customWidth="1"/>
    <col min="1564" max="1797" width="11.42578125" style="381"/>
    <col min="1798" max="1798" width="11.5703125" style="381" bestFit="1" customWidth="1"/>
    <col min="1799" max="1819" width="10.7109375" style="381" customWidth="1"/>
    <col min="1820" max="2053" width="11.42578125" style="381"/>
    <col min="2054" max="2054" width="11.5703125" style="381" bestFit="1" customWidth="1"/>
    <col min="2055" max="2075" width="10.7109375" style="381" customWidth="1"/>
    <col min="2076" max="2309" width="11.42578125" style="381"/>
    <col min="2310" max="2310" width="11.5703125" style="381" bestFit="1" customWidth="1"/>
    <col min="2311" max="2331" width="10.7109375" style="381" customWidth="1"/>
    <col min="2332" max="2565" width="11.42578125" style="381"/>
    <col min="2566" max="2566" width="11.5703125" style="381" bestFit="1" customWidth="1"/>
    <col min="2567" max="2587" width="10.7109375" style="381" customWidth="1"/>
    <col min="2588" max="2821" width="11.42578125" style="381"/>
    <col min="2822" max="2822" width="11.5703125" style="381" bestFit="1" customWidth="1"/>
    <col min="2823" max="2843" width="10.7109375" style="381" customWidth="1"/>
    <col min="2844" max="3077" width="11.42578125" style="381"/>
    <col min="3078" max="3078" width="11.5703125" style="381" bestFit="1" customWidth="1"/>
    <col min="3079" max="3099" width="10.7109375" style="381" customWidth="1"/>
    <col min="3100" max="3333" width="11.42578125" style="381"/>
    <col min="3334" max="3334" width="11.5703125" style="381" bestFit="1" customWidth="1"/>
    <col min="3335" max="3355" width="10.7109375" style="381" customWidth="1"/>
    <col min="3356" max="3589" width="11.42578125" style="381"/>
    <col min="3590" max="3590" width="11.5703125" style="381" bestFit="1" customWidth="1"/>
    <col min="3591" max="3611" width="10.7109375" style="381" customWidth="1"/>
    <col min="3612" max="3845" width="11.42578125" style="381"/>
    <col min="3846" max="3846" width="11.5703125" style="381" bestFit="1" customWidth="1"/>
    <col min="3847" max="3867" width="10.7109375" style="381" customWidth="1"/>
    <col min="3868" max="4101" width="11.42578125" style="381"/>
    <col min="4102" max="4102" width="11.5703125" style="381" bestFit="1" customWidth="1"/>
    <col min="4103" max="4123" width="10.7109375" style="381" customWidth="1"/>
    <col min="4124" max="4357" width="11.42578125" style="381"/>
    <col min="4358" max="4358" width="11.5703125" style="381" bestFit="1" customWidth="1"/>
    <col min="4359" max="4379" width="10.7109375" style="381" customWidth="1"/>
    <col min="4380" max="4613" width="11.42578125" style="381"/>
    <col min="4614" max="4614" width="11.5703125" style="381" bestFit="1" customWidth="1"/>
    <col min="4615" max="4635" width="10.7109375" style="381" customWidth="1"/>
    <col min="4636" max="4869" width="11.42578125" style="381"/>
    <col min="4870" max="4870" width="11.5703125" style="381" bestFit="1" customWidth="1"/>
    <col min="4871" max="4891" width="10.7109375" style="381" customWidth="1"/>
    <col min="4892" max="5125" width="11.42578125" style="381"/>
    <col min="5126" max="5126" width="11.5703125" style="381" bestFit="1" customWidth="1"/>
    <col min="5127" max="5147" width="10.7109375" style="381" customWidth="1"/>
    <col min="5148" max="5381" width="11.42578125" style="381"/>
    <col min="5382" max="5382" width="11.5703125" style="381" bestFit="1" customWidth="1"/>
    <col min="5383" max="5403" width="10.7109375" style="381" customWidth="1"/>
    <col min="5404" max="5637" width="11.42578125" style="381"/>
    <col min="5638" max="5638" width="11.5703125" style="381" bestFit="1" customWidth="1"/>
    <col min="5639" max="5659" width="10.7109375" style="381" customWidth="1"/>
    <col min="5660" max="5893" width="11.42578125" style="381"/>
    <col min="5894" max="5894" width="11.5703125" style="381" bestFit="1" customWidth="1"/>
    <col min="5895" max="5915" width="10.7109375" style="381" customWidth="1"/>
    <col min="5916" max="6149" width="11.42578125" style="381"/>
    <col min="6150" max="6150" width="11.5703125" style="381" bestFit="1" customWidth="1"/>
    <col min="6151" max="6171" width="10.7109375" style="381" customWidth="1"/>
    <col min="6172" max="6405" width="11.42578125" style="381"/>
    <col min="6406" max="6406" width="11.5703125" style="381" bestFit="1" customWidth="1"/>
    <col min="6407" max="6427" width="10.7109375" style="381" customWidth="1"/>
    <col min="6428" max="6661" width="11.42578125" style="381"/>
    <col min="6662" max="6662" width="11.5703125" style="381" bestFit="1" customWidth="1"/>
    <col min="6663" max="6683" width="10.7109375" style="381" customWidth="1"/>
    <col min="6684" max="6917" width="11.42578125" style="381"/>
    <col min="6918" max="6918" width="11.5703125" style="381" bestFit="1" customWidth="1"/>
    <col min="6919" max="6939" width="10.7109375" style="381" customWidth="1"/>
    <col min="6940" max="7173" width="11.42578125" style="381"/>
    <col min="7174" max="7174" width="11.5703125" style="381" bestFit="1" customWidth="1"/>
    <col min="7175" max="7195" width="10.7109375" style="381" customWidth="1"/>
    <col min="7196" max="7429" width="11.42578125" style="381"/>
    <col min="7430" max="7430" width="11.5703125" style="381" bestFit="1" customWidth="1"/>
    <col min="7431" max="7451" width="10.7109375" style="381" customWidth="1"/>
    <col min="7452" max="7685" width="11.42578125" style="381"/>
    <col min="7686" max="7686" width="11.5703125" style="381" bestFit="1" customWidth="1"/>
    <col min="7687" max="7707" width="10.7109375" style="381" customWidth="1"/>
    <col min="7708" max="7941" width="11.42578125" style="381"/>
    <col min="7942" max="7942" width="11.5703125" style="381" bestFit="1" customWidth="1"/>
    <col min="7943" max="7963" width="10.7109375" style="381" customWidth="1"/>
    <col min="7964" max="8197" width="11.42578125" style="381"/>
    <col min="8198" max="8198" width="11.5703125" style="381" bestFit="1" customWidth="1"/>
    <col min="8199" max="8219" width="10.7109375" style="381" customWidth="1"/>
    <col min="8220" max="8453" width="11.42578125" style="381"/>
    <col min="8454" max="8454" width="11.5703125" style="381" bestFit="1" customWidth="1"/>
    <col min="8455" max="8475" width="10.7109375" style="381" customWidth="1"/>
    <col min="8476" max="8709" width="11.42578125" style="381"/>
    <col min="8710" max="8710" width="11.5703125" style="381" bestFit="1" customWidth="1"/>
    <col min="8711" max="8731" width="10.7109375" style="381" customWidth="1"/>
    <col min="8732" max="8965" width="11.42578125" style="381"/>
    <col min="8966" max="8966" width="11.5703125" style="381" bestFit="1" customWidth="1"/>
    <col min="8967" max="8987" width="10.7109375" style="381" customWidth="1"/>
    <col min="8988" max="9221" width="11.42578125" style="381"/>
    <col min="9222" max="9222" width="11.5703125" style="381" bestFit="1" customWidth="1"/>
    <col min="9223" max="9243" width="10.7109375" style="381" customWidth="1"/>
    <col min="9244" max="9477" width="11.42578125" style="381"/>
    <col min="9478" max="9478" width="11.5703125" style="381" bestFit="1" customWidth="1"/>
    <col min="9479" max="9499" width="10.7109375" style="381" customWidth="1"/>
    <col min="9500" max="9733" width="11.42578125" style="381"/>
    <col min="9734" max="9734" width="11.5703125" style="381" bestFit="1" customWidth="1"/>
    <col min="9735" max="9755" width="10.7109375" style="381" customWidth="1"/>
    <col min="9756" max="9989" width="11.42578125" style="381"/>
    <col min="9990" max="9990" width="11.5703125" style="381" bestFit="1" customWidth="1"/>
    <col min="9991" max="10011" width="10.7109375" style="381" customWidth="1"/>
    <col min="10012" max="10245" width="11.42578125" style="381"/>
    <col min="10246" max="10246" width="11.5703125" style="381" bestFit="1" customWidth="1"/>
    <col min="10247" max="10267" width="10.7109375" style="381" customWidth="1"/>
    <col min="10268" max="10501" width="11.42578125" style="381"/>
    <col min="10502" max="10502" width="11.5703125" style="381" bestFit="1" customWidth="1"/>
    <col min="10503" max="10523" width="10.7109375" style="381" customWidth="1"/>
    <col min="10524" max="10757" width="11.42578125" style="381"/>
    <col min="10758" max="10758" width="11.5703125" style="381" bestFit="1" customWidth="1"/>
    <col min="10759" max="10779" width="10.7109375" style="381" customWidth="1"/>
    <col min="10780" max="11013" width="11.42578125" style="381"/>
    <col min="11014" max="11014" width="11.5703125" style="381" bestFit="1" customWidth="1"/>
    <col min="11015" max="11035" width="10.7109375" style="381" customWidth="1"/>
    <col min="11036" max="11269" width="11.42578125" style="381"/>
    <col min="11270" max="11270" width="11.5703125" style="381" bestFit="1" customWidth="1"/>
    <col min="11271" max="11291" width="10.7109375" style="381" customWidth="1"/>
    <col min="11292" max="11525" width="11.42578125" style="381"/>
    <col min="11526" max="11526" width="11.5703125" style="381" bestFit="1" customWidth="1"/>
    <col min="11527" max="11547" width="10.7109375" style="381" customWidth="1"/>
    <col min="11548" max="11781" width="11.42578125" style="381"/>
    <col min="11782" max="11782" width="11.5703125" style="381" bestFit="1" customWidth="1"/>
    <col min="11783" max="11803" width="10.7109375" style="381" customWidth="1"/>
    <col min="11804" max="12037" width="11.42578125" style="381"/>
    <col min="12038" max="12038" width="11.5703125" style="381" bestFit="1" customWidth="1"/>
    <col min="12039" max="12059" width="10.7109375" style="381" customWidth="1"/>
    <col min="12060" max="12293" width="11.42578125" style="381"/>
    <col min="12294" max="12294" width="11.5703125" style="381" bestFit="1" customWidth="1"/>
    <col min="12295" max="12315" width="10.7109375" style="381" customWidth="1"/>
    <col min="12316" max="12549" width="11.42578125" style="381"/>
    <col min="12550" max="12550" width="11.5703125" style="381" bestFit="1" customWidth="1"/>
    <col min="12551" max="12571" width="10.7109375" style="381" customWidth="1"/>
    <col min="12572" max="12805" width="11.42578125" style="381"/>
    <col min="12806" max="12806" width="11.5703125" style="381" bestFit="1" customWidth="1"/>
    <col min="12807" max="12827" width="10.7109375" style="381" customWidth="1"/>
    <col min="12828" max="13061" width="11.42578125" style="381"/>
    <col min="13062" max="13062" width="11.5703125" style="381" bestFit="1" customWidth="1"/>
    <col min="13063" max="13083" width="10.7109375" style="381" customWidth="1"/>
    <col min="13084" max="13317" width="11.42578125" style="381"/>
    <col min="13318" max="13318" width="11.5703125" style="381" bestFit="1" customWidth="1"/>
    <col min="13319" max="13339" width="10.7109375" style="381" customWidth="1"/>
    <col min="13340" max="13573" width="11.42578125" style="381"/>
    <col min="13574" max="13574" width="11.5703125" style="381" bestFit="1" customWidth="1"/>
    <col min="13575" max="13595" width="10.7109375" style="381" customWidth="1"/>
    <col min="13596" max="13829" width="11.42578125" style="381"/>
    <col min="13830" max="13830" width="11.5703125" style="381" bestFit="1" customWidth="1"/>
    <col min="13831" max="13851" width="10.7109375" style="381" customWidth="1"/>
    <col min="13852" max="14085" width="11.42578125" style="381"/>
    <col min="14086" max="14086" width="11.5703125" style="381" bestFit="1" customWidth="1"/>
    <col min="14087" max="14107" width="10.7109375" style="381" customWidth="1"/>
    <col min="14108" max="14341" width="11.42578125" style="381"/>
    <col min="14342" max="14342" width="11.5703125" style="381" bestFit="1" customWidth="1"/>
    <col min="14343" max="14363" width="10.7109375" style="381" customWidth="1"/>
    <col min="14364" max="14597" width="11.42578125" style="381"/>
    <col min="14598" max="14598" width="11.5703125" style="381" bestFit="1" customWidth="1"/>
    <col min="14599" max="14619" width="10.7109375" style="381" customWidth="1"/>
    <col min="14620" max="14853" width="11.42578125" style="381"/>
    <col min="14854" max="14854" width="11.5703125" style="381" bestFit="1" customWidth="1"/>
    <col min="14855" max="14875" width="10.7109375" style="381" customWidth="1"/>
    <col min="14876" max="15109" width="11.42578125" style="381"/>
    <col min="15110" max="15110" width="11.5703125" style="381" bestFit="1" customWidth="1"/>
    <col min="15111" max="15131" width="10.7109375" style="381" customWidth="1"/>
    <col min="15132" max="15365" width="11.42578125" style="381"/>
    <col min="15366" max="15366" width="11.5703125" style="381" bestFit="1" customWidth="1"/>
    <col min="15367" max="15387" width="10.7109375" style="381" customWidth="1"/>
    <col min="15388" max="15621" width="11.42578125" style="381"/>
    <col min="15622" max="15622" width="11.5703125" style="381" bestFit="1" customWidth="1"/>
    <col min="15623" max="15643" width="10.7109375" style="381" customWidth="1"/>
    <col min="15644" max="15877" width="11.42578125" style="381"/>
    <col min="15878" max="15878" width="11.5703125" style="381" bestFit="1" customWidth="1"/>
    <col min="15879" max="15899" width="10.7109375" style="381" customWidth="1"/>
    <col min="15900" max="16133" width="11.42578125" style="381"/>
    <col min="16134" max="16134" width="11.5703125" style="381" bestFit="1" customWidth="1"/>
    <col min="16135" max="16155" width="10.7109375" style="381" customWidth="1"/>
    <col min="16156" max="16384" width="11.42578125" style="381"/>
  </cols>
  <sheetData>
    <row r="1" spans="2:37" x14ac:dyDescent="0.2">
      <c r="W1" s="382"/>
    </row>
    <row r="2" spans="2:37" ht="15" customHeight="1" x14ac:dyDescent="0.25">
      <c r="B2" s="374" t="s">
        <v>585</v>
      </c>
      <c r="C2" s="381"/>
      <c r="D2" s="383"/>
      <c r="E2" s="383"/>
      <c r="F2" s="383"/>
      <c r="G2" s="383"/>
      <c r="H2" s="383"/>
      <c r="I2" s="383"/>
      <c r="J2" s="383"/>
      <c r="K2" s="383"/>
      <c r="L2" s="383"/>
      <c r="M2" s="383"/>
      <c r="N2" s="383"/>
      <c r="O2" s="383"/>
      <c r="P2" s="383"/>
      <c r="Q2" s="383"/>
      <c r="R2" s="383"/>
      <c r="S2" s="476"/>
      <c r="T2" s="383"/>
      <c r="U2" s="383"/>
      <c r="V2" s="383"/>
      <c r="W2" s="383"/>
      <c r="X2" s="383"/>
      <c r="Y2" s="383"/>
      <c r="Z2" s="383"/>
      <c r="AA2" s="383"/>
    </row>
    <row r="3" spans="2:37" ht="15" customHeight="1" x14ac:dyDescent="0.25">
      <c r="B3" s="384" t="s">
        <v>586</v>
      </c>
      <c r="C3" s="381"/>
      <c r="D3" s="383"/>
      <c r="E3" s="383"/>
      <c r="F3" s="383"/>
      <c r="G3" s="383"/>
      <c r="H3" s="383"/>
      <c r="I3" s="383"/>
      <c r="J3" s="383"/>
      <c r="K3" s="383"/>
      <c r="L3" s="383"/>
      <c r="M3" s="383"/>
      <c r="N3" s="383"/>
      <c r="O3" s="383"/>
      <c r="P3" s="383"/>
      <c r="Q3" s="383"/>
      <c r="R3" s="383"/>
      <c r="S3" s="383"/>
      <c r="T3" s="383"/>
      <c r="U3" s="383"/>
      <c r="V3" s="383"/>
      <c r="W3" s="383"/>
      <c r="X3" s="383"/>
      <c r="Y3" s="383"/>
      <c r="Z3" s="383"/>
      <c r="AA3" s="383"/>
      <c r="AC3" s="374"/>
    </row>
    <row r="4" spans="2:37" x14ac:dyDescent="0.2">
      <c r="W4" s="382"/>
    </row>
    <row r="5" spans="2:37" s="63" customFormat="1" ht="17.45" customHeight="1" x14ac:dyDescent="0.2">
      <c r="B5" s="610" t="s">
        <v>6</v>
      </c>
      <c r="C5" s="611" t="s">
        <v>587</v>
      </c>
      <c r="D5" s="613" t="s">
        <v>29</v>
      </c>
      <c r="E5" s="613"/>
      <c r="F5" s="613"/>
      <c r="G5" s="613"/>
      <c r="H5" s="613"/>
      <c r="I5" s="613"/>
      <c r="J5" s="614"/>
      <c r="K5" s="615" t="s">
        <v>30</v>
      </c>
      <c r="L5" s="615"/>
      <c r="M5" s="615"/>
      <c r="N5" s="615"/>
      <c r="O5" s="615"/>
      <c r="P5" s="615"/>
      <c r="Q5" s="616"/>
      <c r="R5" s="615" t="s">
        <v>588</v>
      </c>
      <c r="S5" s="615"/>
      <c r="T5" s="615"/>
      <c r="U5" s="615"/>
      <c r="V5" s="615"/>
      <c r="W5" s="615"/>
      <c r="X5" s="616"/>
      <c r="Y5" s="324"/>
      <c r="AC5" s="387"/>
      <c r="AD5" s="388"/>
      <c r="AE5" s="388"/>
      <c r="AF5" s="389" t="s">
        <v>589</v>
      </c>
      <c r="AG5" s="388"/>
      <c r="AH5" s="388"/>
      <c r="AI5" s="390"/>
    </row>
    <row r="6" spans="2:37" s="392" customFormat="1" ht="63" customHeight="1" x14ac:dyDescent="0.25">
      <c r="B6" s="610"/>
      <c r="C6" s="612"/>
      <c r="D6" s="385" t="s">
        <v>590</v>
      </c>
      <c r="E6" s="385" t="s">
        <v>591</v>
      </c>
      <c r="F6" s="385" t="s">
        <v>592</v>
      </c>
      <c r="G6" s="385" t="s">
        <v>593</v>
      </c>
      <c r="H6" s="385" t="s">
        <v>594</v>
      </c>
      <c r="I6" s="385" t="s">
        <v>595</v>
      </c>
      <c r="J6" s="385" t="s">
        <v>596</v>
      </c>
      <c r="K6" s="385" t="s">
        <v>590</v>
      </c>
      <c r="L6" s="385" t="s">
        <v>591</v>
      </c>
      <c r="M6" s="385" t="s">
        <v>592</v>
      </c>
      <c r="N6" s="385" t="s">
        <v>593</v>
      </c>
      <c r="O6" s="385" t="s">
        <v>594</v>
      </c>
      <c r="P6" s="385" t="s">
        <v>595</v>
      </c>
      <c r="Q6" s="385" t="s">
        <v>597</v>
      </c>
      <c r="R6" s="385" t="s">
        <v>590</v>
      </c>
      <c r="S6" s="385" t="s">
        <v>591</v>
      </c>
      <c r="T6" s="385" t="s">
        <v>592</v>
      </c>
      <c r="U6" s="385" t="s">
        <v>593</v>
      </c>
      <c r="V6" s="385" t="s">
        <v>594</v>
      </c>
      <c r="W6" s="385" t="s">
        <v>595</v>
      </c>
      <c r="X6" s="386" t="s">
        <v>5</v>
      </c>
      <c r="Z6" s="385" t="s">
        <v>6</v>
      </c>
      <c r="AA6" s="386" t="s">
        <v>587</v>
      </c>
      <c r="AB6" s="393" t="s">
        <v>598</v>
      </c>
      <c r="AC6" s="391" t="s">
        <v>590</v>
      </c>
      <c r="AD6" s="391" t="s">
        <v>591</v>
      </c>
      <c r="AE6" s="391" t="s">
        <v>592</v>
      </c>
      <c r="AF6" s="391" t="s">
        <v>593</v>
      </c>
      <c r="AG6" s="391" t="s">
        <v>594</v>
      </c>
      <c r="AH6" s="391" t="s">
        <v>595</v>
      </c>
      <c r="AI6" s="391" t="s">
        <v>5</v>
      </c>
      <c r="AJ6" s="446" t="s">
        <v>596</v>
      </c>
      <c r="AK6" s="446" t="s">
        <v>597</v>
      </c>
    </row>
    <row r="7" spans="2:37" s="63" customFormat="1" ht="12.75" x14ac:dyDescent="0.2">
      <c r="B7" s="325">
        <f>+YEAR(C7)</f>
        <v>2008</v>
      </c>
      <c r="C7" s="394">
        <v>39630</v>
      </c>
      <c r="D7" s="395">
        <v>11349</v>
      </c>
      <c r="E7" s="395">
        <v>6505.98</v>
      </c>
      <c r="F7" s="395"/>
      <c r="G7" s="395">
        <v>0</v>
      </c>
      <c r="H7" s="395">
        <v>0</v>
      </c>
      <c r="I7" s="395">
        <v>0</v>
      </c>
      <c r="J7" s="395">
        <v>17854.98</v>
      </c>
      <c r="K7" s="395">
        <v>6085.2</v>
      </c>
      <c r="L7" s="395">
        <v>5056.68</v>
      </c>
      <c r="M7" s="395"/>
      <c r="N7" s="395">
        <v>0</v>
      </c>
      <c r="O7" s="395">
        <v>0</v>
      </c>
      <c r="P7" s="395">
        <v>0</v>
      </c>
      <c r="Q7" s="395">
        <v>11141.88</v>
      </c>
      <c r="R7" s="395">
        <v>17434.2</v>
      </c>
      <c r="S7" s="395">
        <v>11562.66</v>
      </c>
      <c r="T7" s="395"/>
      <c r="U7" s="395">
        <v>0</v>
      </c>
      <c r="V7" s="395">
        <v>0</v>
      </c>
      <c r="W7" s="396">
        <v>0</v>
      </c>
      <c r="X7" s="395">
        <v>28996.86</v>
      </c>
      <c r="Y7" s="397"/>
      <c r="Z7" s="325">
        <f>+YEAR(AA7)</f>
        <v>2008</v>
      </c>
      <c r="AA7" s="394">
        <v>39630</v>
      </c>
      <c r="AB7" s="398">
        <f>'AUX UF'!C6</f>
        <v>20395.891935483902</v>
      </c>
      <c r="AC7" s="325">
        <f t="shared" ref="AC7:AI7" si="0">+R7/$AB7</f>
        <v>0.85478978095920999</v>
      </c>
      <c r="AD7" s="325">
        <f t="shared" si="0"/>
        <v>0.566911220974052</v>
      </c>
      <c r="AE7" s="325">
        <f t="shared" si="0"/>
        <v>0</v>
      </c>
      <c r="AF7" s="325">
        <f t="shared" si="0"/>
        <v>0</v>
      </c>
      <c r="AG7" s="325">
        <f t="shared" si="0"/>
        <v>0</v>
      </c>
      <c r="AH7" s="325">
        <f t="shared" si="0"/>
        <v>0</v>
      </c>
      <c r="AI7" s="325">
        <f t="shared" si="0"/>
        <v>1.4217010019332619</v>
      </c>
      <c r="AJ7" s="447">
        <f>J7/$AB7</f>
        <v>0.87542040605425386</v>
      </c>
      <c r="AK7" s="447">
        <f>Q7/$AB7</f>
        <v>0.54628059587900801</v>
      </c>
    </row>
    <row r="8" spans="2:37" s="63" customFormat="1" ht="12.75" x14ac:dyDescent="0.2">
      <c r="B8" s="325">
        <f t="shared" ref="B8:B71" si="1">+YEAR(C8)</f>
        <v>2008</v>
      </c>
      <c r="C8" s="394">
        <v>39661</v>
      </c>
      <c r="D8" s="395">
        <v>11427.96</v>
      </c>
      <c r="E8" s="395">
        <v>6568.32</v>
      </c>
      <c r="F8" s="395"/>
      <c r="G8" s="395">
        <v>0</v>
      </c>
      <c r="H8" s="395">
        <v>0</v>
      </c>
      <c r="I8" s="395">
        <v>0</v>
      </c>
      <c r="J8" s="395">
        <v>17996.28</v>
      </c>
      <c r="K8" s="395">
        <v>6100.26</v>
      </c>
      <c r="L8" s="395">
        <v>5089.92</v>
      </c>
      <c r="M8" s="395"/>
      <c r="N8" s="395">
        <v>0</v>
      </c>
      <c r="O8" s="395">
        <v>0</v>
      </c>
      <c r="P8" s="395">
        <v>0</v>
      </c>
      <c r="Q8" s="395">
        <v>11190.18</v>
      </c>
      <c r="R8" s="395">
        <v>17528.22</v>
      </c>
      <c r="S8" s="395">
        <v>11658.24</v>
      </c>
      <c r="T8" s="395"/>
      <c r="U8" s="395">
        <v>0</v>
      </c>
      <c r="V8" s="395">
        <v>0</v>
      </c>
      <c r="W8" s="396">
        <v>0</v>
      </c>
      <c r="X8" s="395">
        <v>29186.46</v>
      </c>
      <c r="Y8" s="397"/>
      <c r="Z8" s="325">
        <f t="shared" ref="Z8:Z71" si="2">+YEAR(AA8)</f>
        <v>2008</v>
      </c>
      <c r="AA8" s="394">
        <v>39661</v>
      </c>
      <c r="AB8" s="398">
        <f>'AUX UF'!C7</f>
        <v>20678.274516129</v>
      </c>
      <c r="AC8" s="325">
        <f t="shared" ref="AC8:AI44" si="3">+R8/$AB8</f>
        <v>0.84766357010726567</v>
      </c>
      <c r="AD8" s="325">
        <f t="shared" si="3"/>
        <v>0.56379172212394235</v>
      </c>
      <c r="AE8" s="325">
        <f t="shared" si="3"/>
        <v>0</v>
      </c>
      <c r="AF8" s="325">
        <f t="shared" si="3"/>
        <v>0</v>
      </c>
      <c r="AG8" s="325">
        <f t="shared" si="3"/>
        <v>0</v>
      </c>
      <c r="AH8" s="325">
        <f t="shared" si="3"/>
        <v>0</v>
      </c>
      <c r="AI8" s="325">
        <f t="shared" si="3"/>
        <v>1.411455292231208</v>
      </c>
      <c r="AJ8" s="447">
        <f t="shared" ref="AJ8:AJ71" si="4">J8/$AB8</f>
        <v>0.87029892102278394</v>
      </c>
      <c r="AK8" s="447">
        <f t="shared" ref="AK8:AK71" si="5">Q8/$AB8</f>
        <v>0.54115637120842408</v>
      </c>
    </row>
    <row r="9" spans="2:37" s="63" customFormat="1" ht="12.75" x14ac:dyDescent="0.2">
      <c r="B9" s="325">
        <f t="shared" si="1"/>
        <v>2008</v>
      </c>
      <c r="C9" s="394">
        <v>39692</v>
      </c>
      <c r="D9" s="395">
        <v>13279.878038999999</v>
      </c>
      <c r="E9" s="395">
        <v>6537.48</v>
      </c>
      <c r="F9" s="395"/>
      <c r="G9" s="395">
        <v>0</v>
      </c>
      <c r="H9" s="395">
        <v>0</v>
      </c>
      <c r="I9" s="395">
        <v>0</v>
      </c>
      <c r="J9" s="395">
        <v>19817.358038999999</v>
      </c>
      <c r="K9" s="395">
        <v>6488.5529790000001</v>
      </c>
      <c r="L9" s="395">
        <v>5073.6000000000004</v>
      </c>
      <c r="M9" s="395"/>
      <c r="N9" s="395">
        <v>0</v>
      </c>
      <c r="O9" s="395">
        <v>0</v>
      </c>
      <c r="P9" s="395">
        <v>0</v>
      </c>
      <c r="Q9" s="395">
        <v>11562.152979</v>
      </c>
      <c r="R9" s="395">
        <v>19768.431017999999</v>
      </c>
      <c r="S9" s="395">
        <v>11611.08</v>
      </c>
      <c r="T9" s="395"/>
      <c r="U9" s="395">
        <v>0</v>
      </c>
      <c r="V9" s="395">
        <v>0</v>
      </c>
      <c r="W9" s="396">
        <v>0</v>
      </c>
      <c r="X9" s="395">
        <v>31379.511018000001</v>
      </c>
      <c r="Y9" s="397"/>
      <c r="Z9" s="325">
        <f t="shared" si="2"/>
        <v>2008</v>
      </c>
      <c r="AA9" s="394">
        <v>39692</v>
      </c>
      <c r="AB9" s="398">
        <f>'AUX UF'!C8</f>
        <v>20896.363666666701</v>
      </c>
      <c r="AC9" s="325">
        <f t="shared" si="3"/>
        <v>0.94602253929634905</v>
      </c>
      <c r="AD9" s="325">
        <f t="shared" si="3"/>
        <v>0.55565074312530616</v>
      </c>
      <c r="AE9" s="325">
        <f t="shared" si="3"/>
        <v>0</v>
      </c>
      <c r="AF9" s="325">
        <f t="shared" si="3"/>
        <v>0</v>
      </c>
      <c r="AG9" s="325">
        <f t="shared" si="3"/>
        <v>0</v>
      </c>
      <c r="AH9" s="325">
        <f t="shared" si="3"/>
        <v>0</v>
      </c>
      <c r="AI9" s="325">
        <f t="shared" si="3"/>
        <v>1.5016732824216552</v>
      </c>
      <c r="AJ9" s="447">
        <f t="shared" si="4"/>
        <v>0.94836395246183902</v>
      </c>
      <c r="AK9" s="447">
        <f t="shared" si="5"/>
        <v>0.55330932995981619</v>
      </c>
    </row>
    <row r="10" spans="2:37" s="63" customFormat="1" ht="12.75" x14ac:dyDescent="0.2">
      <c r="B10" s="325">
        <f t="shared" si="1"/>
        <v>2008</v>
      </c>
      <c r="C10" s="394">
        <v>39722</v>
      </c>
      <c r="D10" s="395">
        <v>15225.059687000001</v>
      </c>
      <c r="E10" s="395">
        <v>6541.98</v>
      </c>
      <c r="F10" s="395"/>
      <c r="G10" s="395">
        <v>385.553922</v>
      </c>
      <c r="H10" s="395">
        <v>35.328138000000003</v>
      </c>
      <c r="I10" s="395">
        <v>0</v>
      </c>
      <c r="J10" s="395">
        <v>22187.921747</v>
      </c>
      <c r="K10" s="395">
        <v>6917.450409</v>
      </c>
      <c r="L10" s="395">
        <v>5094.0621680000004</v>
      </c>
      <c r="M10" s="395"/>
      <c r="N10" s="395">
        <v>191.69529700000001</v>
      </c>
      <c r="O10" s="395">
        <v>35.923118000000002</v>
      </c>
      <c r="P10" s="395">
        <v>0</v>
      </c>
      <c r="Q10" s="395">
        <v>12239.130992</v>
      </c>
      <c r="R10" s="395">
        <v>22142.510096000002</v>
      </c>
      <c r="S10" s="395">
        <v>11636.042168</v>
      </c>
      <c r="T10" s="395"/>
      <c r="U10" s="395">
        <v>577.24921900000004</v>
      </c>
      <c r="V10" s="395">
        <v>71.251255999999998</v>
      </c>
      <c r="W10" s="396">
        <v>0</v>
      </c>
      <c r="X10" s="395">
        <v>34427.052738999999</v>
      </c>
      <c r="Y10" s="397"/>
      <c r="Z10" s="325">
        <f t="shared" si="2"/>
        <v>2008</v>
      </c>
      <c r="AA10" s="394">
        <v>39722</v>
      </c>
      <c r="AB10" s="398">
        <f>'AUX UF'!C9</f>
        <v>21098.310967741902</v>
      </c>
      <c r="AC10" s="325">
        <f t="shared" si="3"/>
        <v>1.0494920721310166</v>
      </c>
      <c r="AD10" s="325">
        <f t="shared" si="3"/>
        <v>0.55151534100482436</v>
      </c>
      <c r="AE10" s="325">
        <f t="shared" si="3"/>
        <v>0</v>
      </c>
      <c r="AF10" s="325">
        <f t="shared" si="3"/>
        <v>2.7359973027347106E-2</v>
      </c>
      <c r="AG10" s="325">
        <f t="shared" si="3"/>
        <v>3.3771071110355257E-3</v>
      </c>
      <c r="AH10" s="325">
        <f t="shared" si="3"/>
        <v>0</v>
      </c>
      <c r="AI10" s="325">
        <f t="shared" si="3"/>
        <v>1.6317444932742233</v>
      </c>
      <c r="AJ10" s="447">
        <f t="shared" si="4"/>
        <v>1.0516444553748425</v>
      </c>
      <c r="AK10" s="447">
        <f t="shared" si="5"/>
        <v>0.58010003789938092</v>
      </c>
    </row>
    <row r="11" spans="2:37" s="63" customFormat="1" ht="12.75" x14ac:dyDescent="0.2">
      <c r="B11" s="325">
        <f t="shared" si="1"/>
        <v>2008</v>
      </c>
      <c r="C11" s="394">
        <v>39753</v>
      </c>
      <c r="D11" s="395">
        <v>15133.152021</v>
      </c>
      <c r="E11" s="395">
        <v>6574.32</v>
      </c>
      <c r="F11" s="395"/>
      <c r="G11" s="395">
        <v>192.96798999999999</v>
      </c>
      <c r="H11" s="395">
        <v>20.520752000000002</v>
      </c>
      <c r="I11" s="395">
        <v>0</v>
      </c>
      <c r="J11" s="395">
        <v>21920.960762999999</v>
      </c>
      <c r="K11" s="395">
        <v>6911.0233959999996</v>
      </c>
      <c r="L11" s="395">
        <v>5088.8932969999996</v>
      </c>
      <c r="M11" s="395"/>
      <c r="N11" s="395">
        <v>85.654066999999998</v>
      </c>
      <c r="O11" s="395">
        <v>19.636312</v>
      </c>
      <c r="P11" s="395">
        <v>0</v>
      </c>
      <c r="Q11" s="395">
        <v>12105.207071999999</v>
      </c>
      <c r="R11" s="395">
        <v>22044.175416999999</v>
      </c>
      <c r="S11" s="395">
        <v>11663.213297</v>
      </c>
      <c r="T11" s="395"/>
      <c r="U11" s="395">
        <v>278.62205699999998</v>
      </c>
      <c r="V11" s="395">
        <v>40.157063999999998</v>
      </c>
      <c r="W11" s="396">
        <v>0</v>
      </c>
      <c r="X11" s="395">
        <v>34026.167835</v>
      </c>
      <c r="Y11" s="397"/>
      <c r="Z11" s="325">
        <f t="shared" si="2"/>
        <v>2008</v>
      </c>
      <c r="AA11" s="394">
        <v>39753</v>
      </c>
      <c r="AB11" s="398">
        <f>'AUX UF'!C10</f>
        <v>21316.353999999999</v>
      </c>
      <c r="AC11" s="325">
        <f t="shared" si="3"/>
        <v>1.0341438041890278</v>
      </c>
      <c r="AD11" s="325">
        <f t="shared" si="3"/>
        <v>0.54714860228911566</v>
      </c>
      <c r="AE11" s="325">
        <f t="shared" si="3"/>
        <v>0</v>
      </c>
      <c r="AF11" s="325">
        <f t="shared" si="3"/>
        <v>1.3070812062888428E-2</v>
      </c>
      <c r="AG11" s="325">
        <f t="shared" si="3"/>
        <v>1.8838617523428255E-3</v>
      </c>
      <c r="AH11" s="325">
        <f t="shared" si="3"/>
        <v>0</v>
      </c>
      <c r="AI11" s="325">
        <f t="shared" si="3"/>
        <v>1.5962470802933748</v>
      </c>
      <c r="AJ11" s="447">
        <f t="shared" si="4"/>
        <v>1.0283635167158511</v>
      </c>
      <c r="AK11" s="447">
        <f t="shared" si="5"/>
        <v>0.56788356357752356</v>
      </c>
    </row>
    <row r="12" spans="2:37" s="63" customFormat="1" ht="12.75" x14ac:dyDescent="0.2">
      <c r="B12" s="325">
        <f t="shared" si="1"/>
        <v>2008</v>
      </c>
      <c r="C12" s="394">
        <v>39783</v>
      </c>
      <c r="D12" s="395">
        <v>16162.566723</v>
      </c>
      <c r="E12" s="395">
        <v>7061.64</v>
      </c>
      <c r="F12" s="395"/>
      <c r="G12" s="395">
        <v>198.56528299999999</v>
      </c>
      <c r="H12" s="395">
        <v>21.138228000000002</v>
      </c>
      <c r="I12" s="395">
        <v>0</v>
      </c>
      <c r="J12" s="395">
        <v>23443.910233999999</v>
      </c>
      <c r="K12" s="395">
        <v>7304.6943179999998</v>
      </c>
      <c r="L12" s="395">
        <v>5314.6946029999999</v>
      </c>
      <c r="M12" s="395"/>
      <c r="N12" s="395">
        <v>107.688464</v>
      </c>
      <c r="O12" s="395">
        <v>20.228435999999999</v>
      </c>
      <c r="P12" s="395">
        <v>0</v>
      </c>
      <c r="Q12" s="395">
        <v>12747.305821</v>
      </c>
      <c r="R12" s="395">
        <v>23467.261041000002</v>
      </c>
      <c r="S12" s="395">
        <v>12376.334602999999</v>
      </c>
      <c r="T12" s="395"/>
      <c r="U12" s="395">
        <v>306.25374699999998</v>
      </c>
      <c r="V12" s="395">
        <v>41.366664</v>
      </c>
      <c r="W12" s="396">
        <v>0</v>
      </c>
      <c r="X12" s="395">
        <v>36191.216054999997</v>
      </c>
      <c r="Y12" s="397"/>
      <c r="Z12" s="325">
        <f t="shared" si="2"/>
        <v>2008</v>
      </c>
      <c r="AA12" s="394">
        <v>39783</v>
      </c>
      <c r="AB12" s="398">
        <f>'AUX UF'!C11</f>
        <v>21454.716451612901</v>
      </c>
      <c r="AC12" s="325">
        <f t="shared" si="3"/>
        <v>1.0938042967813635</v>
      </c>
      <c r="AD12" s="325">
        <f t="shared" si="3"/>
        <v>0.57685845585107154</v>
      </c>
      <c r="AE12" s="325">
        <f t="shared" si="3"/>
        <v>0</v>
      </c>
      <c r="AF12" s="325">
        <f t="shared" si="3"/>
        <v>1.4274425285027561E-2</v>
      </c>
      <c r="AG12" s="325">
        <f t="shared" si="3"/>
        <v>1.9280918530568685E-3</v>
      </c>
      <c r="AH12" s="325">
        <f t="shared" si="3"/>
        <v>0</v>
      </c>
      <c r="AI12" s="325">
        <f t="shared" si="3"/>
        <v>1.6868652697705193</v>
      </c>
      <c r="AJ12" s="447">
        <f t="shared" si="4"/>
        <v>1.0927159203839096</v>
      </c>
      <c r="AK12" s="447">
        <f t="shared" si="5"/>
        <v>0.59414934938660979</v>
      </c>
    </row>
    <row r="13" spans="2:37" s="63" customFormat="1" ht="12.75" x14ac:dyDescent="0.2">
      <c r="B13" s="325">
        <f t="shared" si="1"/>
        <v>2009</v>
      </c>
      <c r="C13" s="394">
        <v>39814</v>
      </c>
      <c r="D13" s="395">
        <v>15637.465548</v>
      </c>
      <c r="E13" s="395">
        <v>7229.7948569999999</v>
      </c>
      <c r="F13" s="395"/>
      <c r="G13" s="395">
        <v>386.55168500000002</v>
      </c>
      <c r="H13" s="395">
        <v>38.038701000000003</v>
      </c>
      <c r="I13" s="395">
        <v>0</v>
      </c>
      <c r="J13" s="395">
        <v>23291.850791000001</v>
      </c>
      <c r="K13" s="395">
        <v>7092.1381289999999</v>
      </c>
      <c r="L13" s="395">
        <v>5351.1804739999998</v>
      </c>
      <c r="M13" s="395"/>
      <c r="N13" s="395">
        <v>194.88768999999999</v>
      </c>
      <c r="O13" s="395">
        <v>43.68788</v>
      </c>
      <c r="P13" s="395">
        <v>0</v>
      </c>
      <c r="Q13" s="395">
        <v>12681.894173000001</v>
      </c>
      <c r="R13" s="395">
        <v>22729.603676999999</v>
      </c>
      <c r="S13" s="395">
        <v>12580.975331</v>
      </c>
      <c r="T13" s="395"/>
      <c r="U13" s="395">
        <v>581.43937500000004</v>
      </c>
      <c r="V13" s="395">
        <v>81.726580999999996</v>
      </c>
      <c r="W13" s="396">
        <v>0</v>
      </c>
      <c r="X13" s="395">
        <v>35973.744963999998</v>
      </c>
      <c r="Y13" s="397"/>
      <c r="Z13" s="325">
        <f t="shared" si="2"/>
        <v>2009</v>
      </c>
      <c r="AA13" s="394">
        <v>39814</v>
      </c>
      <c r="AB13" s="398">
        <f>'AUX UF'!C12</f>
        <v>21379.179677419401</v>
      </c>
      <c r="AC13" s="325">
        <f t="shared" si="3"/>
        <v>1.0631653795868936</v>
      </c>
      <c r="AD13" s="325">
        <f t="shared" si="3"/>
        <v>0.58846857179875678</v>
      </c>
      <c r="AE13" s="325">
        <f t="shared" si="3"/>
        <v>0</v>
      </c>
      <c r="AF13" s="325">
        <f t="shared" si="3"/>
        <v>2.7196524084322743E-2</v>
      </c>
      <c r="AG13" s="325">
        <f t="shared" si="3"/>
        <v>3.8227182816709879E-3</v>
      </c>
      <c r="AH13" s="325">
        <f t="shared" si="3"/>
        <v>0</v>
      </c>
      <c r="AI13" s="325">
        <f t="shared" si="3"/>
        <v>1.682653193751644</v>
      </c>
      <c r="AJ13" s="447">
        <f t="shared" si="4"/>
        <v>1.0894641956539033</v>
      </c>
      <c r="AK13" s="447">
        <f t="shared" si="5"/>
        <v>0.59318899809774106</v>
      </c>
    </row>
    <row r="14" spans="2:37" s="63" customFormat="1" ht="12.75" x14ac:dyDescent="0.2">
      <c r="B14" s="325">
        <f t="shared" si="1"/>
        <v>2009</v>
      </c>
      <c r="C14" s="394">
        <v>39845</v>
      </c>
      <c r="D14" s="395">
        <v>15606.041944000001</v>
      </c>
      <c r="E14" s="395">
        <v>7233.8710199999996</v>
      </c>
      <c r="F14" s="395"/>
      <c r="G14" s="395">
        <v>297.76134000000002</v>
      </c>
      <c r="H14" s="395">
        <v>47.118130999999998</v>
      </c>
      <c r="I14" s="395">
        <v>0</v>
      </c>
      <c r="J14" s="395">
        <v>23184.792434999999</v>
      </c>
      <c r="K14" s="395">
        <v>7061.3554759999997</v>
      </c>
      <c r="L14" s="395">
        <v>5318.6779429999997</v>
      </c>
      <c r="M14" s="395"/>
      <c r="N14" s="395">
        <v>156.34131199999999</v>
      </c>
      <c r="O14" s="395">
        <v>43.785755000000002</v>
      </c>
      <c r="P14" s="395">
        <v>0</v>
      </c>
      <c r="Q14" s="395">
        <v>12580.160486000001</v>
      </c>
      <c r="R14" s="395">
        <v>22667.397420000001</v>
      </c>
      <c r="S14" s="395">
        <v>12552.548962999999</v>
      </c>
      <c r="T14" s="395"/>
      <c r="U14" s="395">
        <v>454.10265199999998</v>
      </c>
      <c r="V14" s="395">
        <v>90.903886</v>
      </c>
      <c r="W14" s="396">
        <v>0</v>
      </c>
      <c r="X14" s="395">
        <v>35764.952920999996</v>
      </c>
      <c r="Y14" s="397"/>
      <c r="Z14" s="325">
        <f t="shared" si="2"/>
        <v>2009</v>
      </c>
      <c r="AA14" s="394">
        <v>39845</v>
      </c>
      <c r="AB14" s="398">
        <f>'AUX UF'!C13</f>
        <v>21158.432857142801</v>
      </c>
      <c r="AC14" s="325">
        <f t="shared" si="3"/>
        <v>1.0713174067779692</v>
      </c>
      <c r="AD14" s="325">
        <f t="shared" si="3"/>
        <v>0.59326458853319219</v>
      </c>
      <c r="AE14" s="325">
        <f t="shared" si="3"/>
        <v>0</v>
      </c>
      <c r="AF14" s="325">
        <f t="shared" si="3"/>
        <v>2.1462017299012818E-2</v>
      </c>
      <c r="AG14" s="325">
        <f t="shared" si="3"/>
        <v>4.2963430521420721E-3</v>
      </c>
      <c r="AH14" s="325">
        <f t="shared" si="3"/>
        <v>0</v>
      </c>
      <c r="AI14" s="325">
        <f t="shared" si="3"/>
        <v>1.690340355662316</v>
      </c>
      <c r="AJ14" s="447">
        <f t="shared" si="4"/>
        <v>1.0957707780882802</v>
      </c>
      <c r="AK14" s="447">
        <f t="shared" si="5"/>
        <v>0.59456957757403606</v>
      </c>
    </row>
    <row r="15" spans="2:37" s="63" customFormat="1" ht="12.75" x14ac:dyDescent="0.2">
      <c r="B15" s="325">
        <f t="shared" si="1"/>
        <v>2009</v>
      </c>
      <c r="C15" s="394">
        <v>39873</v>
      </c>
      <c r="D15" s="395">
        <v>15641.610882999999</v>
      </c>
      <c r="E15" s="395">
        <v>7228.1845709999998</v>
      </c>
      <c r="F15" s="395"/>
      <c r="G15" s="395">
        <v>330.681512</v>
      </c>
      <c r="H15" s="395">
        <v>61.973135999999997</v>
      </c>
      <c r="I15" s="395">
        <v>0</v>
      </c>
      <c r="J15" s="395">
        <v>23262.450101999999</v>
      </c>
      <c r="K15" s="395">
        <v>7110.673605</v>
      </c>
      <c r="L15" s="395">
        <v>5310.5013929999996</v>
      </c>
      <c r="M15" s="395"/>
      <c r="N15" s="395">
        <v>202.020432</v>
      </c>
      <c r="O15" s="395">
        <v>47.441952000000001</v>
      </c>
      <c r="P15" s="395">
        <v>0</v>
      </c>
      <c r="Q15" s="395">
        <v>12670.637382000001</v>
      </c>
      <c r="R15" s="395">
        <v>22752.284488000001</v>
      </c>
      <c r="S15" s="395">
        <v>12538.685964</v>
      </c>
      <c r="T15" s="395"/>
      <c r="U15" s="395">
        <v>532.70194400000003</v>
      </c>
      <c r="V15" s="395">
        <v>109.415088</v>
      </c>
      <c r="W15" s="396">
        <v>0</v>
      </c>
      <c r="X15" s="395">
        <v>35933.087484000003</v>
      </c>
      <c r="Y15" s="397"/>
      <c r="Z15" s="325">
        <f t="shared" si="2"/>
        <v>2009</v>
      </c>
      <c r="AA15" s="394">
        <v>39873</v>
      </c>
      <c r="AB15" s="398">
        <f>'AUX UF'!C14</f>
        <v>21004.3206451613</v>
      </c>
      <c r="AC15" s="325">
        <f t="shared" si="3"/>
        <v>1.0832192515229657</v>
      </c>
      <c r="AD15" s="325">
        <f t="shared" si="3"/>
        <v>0.59695746298219354</v>
      </c>
      <c r="AE15" s="325">
        <f t="shared" si="3"/>
        <v>0</v>
      </c>
      <c r="AF15" s="325">
        <f t="shared" si="3"/>
        <v>2.5361541227600565E-2</v>
      </c>
      <c r="AG15" s="325">
        <f t="shared" si="3"/>
        <v>5.2091705248846314E-3</v>
      </c>
      <c r="AH15" s="325">
        <f t="shared" si="3"/>
        <v>0</v>
      </c>
      <c r="AI15" s="325">
        <f t="shared" si="3"/>
        <v>1.7107474262576445</v>
      </c>
      <c r="AJ15" s="447">
        <f t="shared" si="4"/>
        <v>1.1075078549307376</v>
      </c>
      <c r="AK15" s="447">
        <f t="shared" si="5"/>
        <v>0.60323957132690675</v>
      </c>
    </row>
    <row r="16" spans="2:37" s="63" customFormat="1" ht="12.75" x14ac:dyDescent="0.2">
      <c r="B16" s="325">
        <f t="shared" si="1"/>
        <v>2009</v>
      </c>
      <c r="C16" s="394">
        <v>39904</v>
      </c>
      <c r="D16" s="395">
        <v>15659.382740999999</v>
      </c>
      <c r="E16" s="395">
        <v>7298.661306</v>
      </c>
      <c r="F16" s="395"/>
      <c r="G16" s="395">
        <v>474.23753900000003</v>
      </c>
      <c r="H16" s="395">
        <v>109.27812900000001</v>
      </c>
      <c r="I16" s="395">
        <v>0</v>
      </c>
      <c r="J16" s="395">
        <v>23541.559714999999</v>
      </c>
      <c r="K16" s="395">
        <v>7082.2979500000001</v>
      </c>
      <c r="L16" s="395">
        <v>5349.2187809999996</v>
      </c>
      <c r="M16" s="395"/>
      <c r="N16" s="395">
        <v>281.55046199999998</v>
      </c>
      <c r="O16" s="395">
        <v>79.704356000000004</v>
      </c>
      <c r="P16" s="395">
        <v>0</v>
      </c>
      <c r="Q16" s="395">
        <v>12792.771548999999</v>
      </c>
      <c r="R16" s="395">
        <v>22741.680691000001</v>
      </c>
      <c r="S16" s="395">
        <v>12647.880087</v>
      </c>
      <c r="T16" s="395"/>
      <c r="U16" s="395">
        <v>755.78800100000001</v>
      </c>
      <c r="V16" s="395">
        <v>188.982485</v>
      </c>
      <c r="W16" s="396">
        <v>0</v>
      </c>
      <c r="X16" s="395">
        <v>36334.331264</v>
      </c>
      <c r="Y16" s="397"/>
      <c r="Z16" s="325">
        <f t="shared" si="2"/>
        <v>2009</v>
      </c>
      <c r="AA16" s="394">
        <v>39904</v>
      </c>
      <c r="AB16" s="398">
        <f>'AUX UF'!C15</f>
        <v>20960.1116666667</v>
      </c>
      <c r="AC16" s="325">
        <f t="shared" si="3"/>
        <v>1.0849980693169001</v>
      </c>
      <c r="AD16" s="325">
        <f t="shared" si="3"/>
        <v>0.60342617864551673</v>
      </c>
      <c r="AE16" s="325">
        <f t="shared" si="3"/>
        <v>0</v>
      </c>
      <c r="AF16" s="325">
        <f t="shared" si="3"/>
        <v>3.605839572896672E-2</v>
      </c>
      <c r="AG16" s="325">
        <f t="shared" si="3"/>
        <v>9.0162918979359609E-3</v>
      </c>
      <c r="AH16" s="325">
        <f t="shared" si="3"/>
        <v>0</v>
      </c>
      <c r="AI16" s="325">
        <f t="shared" si="3"/>
        <v>1.7334989355893193</v>
      </c>
      <c r="AJ16" s="447">
        <f t="shared" si="4"/>
        <v>1.123160033180483</v>
      </c>
      <c r="AK16" s="447">
        <f t="shared" si="5"/>
        <v>0.61033890240883637</v>
      </c>
    </row>
    <row r="17" spans="2:37" s="63" customFormat="1" ht="12.75" x14ac:dyDescent="0.2">
      <c r="B17" s="325">
        <f t="shared" si="1"/>
        <v>2009</v>
      </c>
      <c r="C17" s="394">
        <v>39934</v>
      </c>
      <c r="D17" s="395">
        <v>15830.182876000001</v>
      </c>
      <c r="E17" s="395">
        <v>7445.7213060000004</v>
      </c>
      <c r="F17" s="395"/>
      <c r="G17" s="395">
        <v>435.18742300000002</v>
      </c>
      <c r="H17" s="395">
        <v>103.34439399999999</v>
      </c>
      <c r="I17" s="395">
        <v>0</v>
      </c>
      <c r="J17" s="395">
        <v>23814.435999000001</v>
      </c>
      <c r="K17" s="395">
        <v>7116.3814689999999</v>
      </c>
      <c r="L17" s="395">
        <v>5432.3187809999999</v>
      </c>
      <c r="M17" s="395"/>
      <c r="N17" s="395">
        <v>331.166</v>
      </c>
      <c r="O17" s="395">
        <v>83.507484000000005</v>
      </c>
      <c r="P17" s="395">
        <v>0</v>
      </c>
      <c r="Q17" s="395">
        <v>12963.373734000001</v>
      </c>
      <c r="R17" s="395">
        <v>22946.564344999999</v>
      </c>
      <c r="S17" s="395">
        <v>12878.040086999999</v>
      </c>
      <c r="T17" s="395"/>
      <c r="U17" s="395">
        <v>766.35342300000002</v>
      </c>
      <c r="V17" s="395">
        <v>186.851878</v>
      </c>
      <c r="W17" s="396">
        <v>0</v>
      </c>
      <c r="X17" s="395">
        <v>36777.809733000002</v>
      </c>
      <c r="Y17" s="397"/>
      <c r="Z17" s="325">
        <f t="shared" si="2"/>
        <v>2009</v>
      </c>
      <c r="AA17" s="394">
        <v>39934</v>
      </c>
      <c r="AB17" s="398">
        <f>'AUX UF'!C16</f>
        <v>21004.810322580601</v>
      </c>
      <c r="AC17" s="325">
        <f t="shared" si="3"/>
        <v>1.0924433019198452</v>
      </c>
      <c r="AD17" s="325">
        <f t="shared" si="3"/>
        <v>0.61309956572927693</v>
      </c>
      <c r="AE17" s="325">
        <f t="shared" si="3"/>
        <v>0</v>
      </c>
      <c r="AF17" s="325">
        <f t="shared" si="3"/>
        <v>3.6484662857257724E-2</v>
      </c>
      <c r="AG17" s="325">
        <f t="shared" si="3"/>
        <v>8.8956708073259973E-3</v>
      </c>
      <c r="AH17" s="325">
        <f t="shared" si="3"/>
        <v>0</v>
      </c>
      <c r="AI17" s="325">
        <f t="shared" si="3"/>
        <v>1.7509232013137059</v>
      </c>
      <c r="AJ17" s="447">
        <f t="shared" si="4"/>
        <v>1.1337610591702889</v>
      </c>
      <c r="AK17" s="447">
        <f t="shared" si="5"/>
        <v>0.61716214214341691</v>
      </c>
    </row>
    <row r="18" spans="2:37" s="63" customFormat="1" ht="12.75" x14ac:dyDescent="0.2">
      <c r="B18" s="325">
        <f t="shared" si="1"/>
        <v>2009</v>
      </c>
      <c r="C18" s="394">
        <v>39965</v>
      </c>
      <c r="D18" s="395">
        <v>15976.444926</v>
      </c>
      <c r="E18" s="395">
        <v>7632.6064299999998</v>
      </c>
      <c r="F18" s="395"/>
      <c r="G18" s="395">
        <v>439.86606499999999</v>
      </c>
      <c r="H18" s="395">
        <v>122.954975</v>
      </c>
      <c r="I18" s="395">
        <v>0</v>
      </c>
      <c r="J18" s="395">
        <v>24171.872395999999</v>
      </c>
      <c r="K18" s="395">
        <v>7146.9989320000004</v>
      </c>
      <c r="L18" s="395">
        <v>5488.7517600000001</v>
      </c>
      <c r="M18" s="395"/>
      <c r="N18" s="395">
        <v>305.74899900000003</v>
      </c>
      <c r="O18" s="395">
        <v>94.453398000000007</v>
      </c>
      <c r="P18" s="395">
        <v>0</v>
      </c>
      <c r="Q18" s="395">
        <v>13035.953089000001</v>
      </c>
      <c r="R18" s="395">
        <v>23123.443857999999</v>
      </c>
      <c r="S18" s="395">
        <v>13121.358190000001</v>
      </c>
      <c r="T18" s="395"/>
      <c r="U18" s="395">
        <v>745.61506399999996</v>
      </c>
      <c r="V18" s="395">
        <v>217.40837300000001</v>
      </c>
      <c r="W18" s="396">
        <v>0</v>
      </c>
      <c r="X18" s="395">
        <v>37207.825485000001</v>
      </c>
      <c r="Y18" s="397"/>
      <c r="Z18" s="325">
        <f t="shared" si="2"/>
        <v>2009</v>
      </c>
      <c r="AA18" s="394">
        <v>39965</v>
      </c>
      <c r="AB18" s="398">
        <f>'AUX UF'!C17</f>
        <v>20962.551666666699</v>
      </c>
      <c r="AC18" s="325">
        <f t="shared" si="3"/>
        <v>1.1030834521338073</v>
      </c>
      <c r="AD18" s="325">
        <f t="shared" si="3"/>
        <v>0.62594279545007592</v>
      </c>
      <c r="AE18" s="325">
        <f t="shared" si="3"/>
        <v>0</v>
      </c>
      <c r="AF18" s="325">
        <f t="shared" si="3"/>
        <v>3.5568907633779581E-2</v>
      </c>
      <c r="AG18" s="325">
        <f t="shared" si="3"/>
        <v>1.0371274282687103E-2</v>
      </c>
      <c r="AH18" s="325">
        <f t="shared" si="3"/>
        <v>0</v>
      </c>
      <c r="AI18" s="325">
        <f t="shared" si="3"/>
        <v>1.77496642950035</v>
      </c>
      <c r="AJ18" s="447">
        <f t="shared" si="4"/>
        <v>1.1530978089101889</v>
      </c>
      <c r="AK18" s="447">
        <f t="shared" si="5"/>
        <v>0.62186862059016101</v>
      </c>
    </row>
    <row r="19" spans="2:37" s="63" customFormat="1" ht="12.75" x14ac:dyDescent="0.2">
      <c r="B19" s="325">
        <f t="shared" si="1"/>
        <v>2009</v>
      </c>
      <c r="C19" s="394">
        <v>39995</v>
      </c>
      <c r="D19" s="395">
        <v>19913.272247000001</v>
      </c>
      <c r="E19" s="395">
        <v>9511.333826</v>
      </c>
      <c r="F19" s="395"/>
      <c r="G19" s="395">
        <v>635.12379399999998</v>
      </c>
      <c r="H19" s="395">
        <v>222.38219000000001</v>
      </c>
      <c r="I19" s="395">
        <v>0</v>
      </c>
      <c r="J19" s="395">
        <v>30282.112056999998</v>
      </c>
      <c r="K19" s="395">
        <v>8902.8531949999997</v>
      </c>
      <c r="L19" s="395">
        <v>6798.319434</v>
      </c>
      <c r="M19" s="395"/>
      <c r="N19" s="395">
        <v>424.219133</v>
      </c>
      <c r="O19" s="395">
        <v>172.99399</v>
      </c>
      <c r="P19" s="395">
        <v>0</v>
      </c>
      <c r="Q19" s="395">
        <v>16298.385752</v>
      </c>
      <c r="R19" s="395">
        <v>28816.125442</v>
      </c>
      <c r="S19" s="395">
        <v>16309.653259999999</v>
      </c>
      <c r="T19" s="395"/>
      <c r="U19" s="395">
        <v>1059.3429269999999</v>
      </c>
      <c r="V19" s="395">
        <v>395.37617999999998</v>
      </c>
      <c r="W19" s="396">
        <v>0</v>
      </c>
      <c r="X19" s="395">
        <v>46580.497809</v>
      </c>
      <c r="Y19" s="397"/>
      <c r="Z19" s="325">
        <f t="shared" si="2"/>
        <v>2009</v>
      </c>
      <c r="AA19" s="394">
        <v>39995</v>
      </c>
      <c r="AB19" s="398">
        <f>'AUX UF'!C18</f>
        <v>20933.0980645161</v>
      </c>
      <c r="AC19" s="325">
        <f t="shared" si="3"/>
        <v>1.376581973350925</v>
      </c>
      <c r="AD19" s="325">
        <f t="shared" si="3"/>
        <v>0.77913232000984378</v>
      </c>
      <c r="AE19" s="325">
        <f t="shared" si="3"/>
        <v>0</v>
      </c>
      <c r="AF19" s="325">
        <f t="shared" si="3"/>
        <v>5.0606122597576825E-2</v>
      </c>
      <c r="AG19" s="325">
        <f t="shared" si="3"/>
        <v>1.8887609410773554E-2</v>
      </c>
      <c r="AH19" s="325">
        <f t="shared" si="3"/>
        <v>0</v>
      </c>
      <c r="AI19" s="325">
        <f t="shared" si="3"/>
        <v>2.2252080253691191</v>
      </c>
      <c r="AJ19" s="447">
        <f t="shared" si="4"/>
        <v>1.4466139681603796</v>
      </c>
      <c r="AK19" s="447">
        <f t="shared" si="5"/>
        <v>0.77859405720873942</v>
      </c>
    </row>
    <row r="20" spans="2:37" s="63" customFormat="1" ht="12.75" x14ac:dyDescent="0.2">
      <c r="B20" s="325">
        <f t="shared" si="1"/>
        <v>2009</v>
      </c>
      <c r="C20" s="394">
        <v>40026</v>
      </c>
      <c r="D20" s="395">
        <v>19952.724859000002</v>
      </c>
      <c r="E20" s="395">
        <v>9873.4597780000004</v>
      </c>
      <c r="F20" s="395"/>
      <c r="G20" s="395">
        <v>737.03956900000003</v>
      </c>
      <c r="H20" s="395">
        <v>230.495621</v>
      </c>
      <c r="I20" s="395">
        <v>0</v>
      </c>
      <c r="J20" s="395">
        <v>30793.719827000001</v>
      </c>
      <c r="K20" s="395">
        <v>9016.0177750000003</v>
      </c>
      <c r="L20" s="395">
        <v>6952.9298820000004</v>
      </c>
      <c r="M20" s="395"/>
      <c r="N20" s="395">
        <v>579.26998000000003</v>
      </c>
      <c r="O20" s="395">
        <v>179.837233</v>
      </c>
      <c r="P20" s="395">
        <v>0</v>
      </c>
      <c r="Q20" s="395">
        <v>16728.05487</v>
      </c>
      <c r="R20" s="395">
        <v>28968.742633999998</v>
      </c>
      <c r="S20" s="395">
        <v>16826.389660000001</v>
      </c>
      <c r="T20" s="395"/>
      <c r="U20" s="395">
        <v>1316.3095490000001</v>
      </c>
      <c r="V20" s="395">
        <v>410.332854</v>
      </c>
      <c r="W20" s="396">
        <v>0</v>
      </c>
      <c r="X20" s="395">
        <v>47521.774697000001</v>
      </c>
      <c r="Y20" s="397"/>
      <c r="Z20" s="325">
        <f t="shared" si="2"/>
        <v>2009</v>
      </c>
      <c r="AA20" s="394">
        <v>40026</v>
      </c>
      <c r="AB20" s="398">
        <f>'AUX UF'!C19</f>
        <v>20952.434193548401</v>
      </c>
      <c r="AC20" s="325">
        <f t="shared" si="3"/>
        <v>1.382595567006718</v>
      </c>
      <c r="AD20" s="325">
        <f t="shared" si="3"/>
        <v>0.80307564765821449</v>
      </c>
      <c r="AE20" s="325">
        <f t="shared" si="3"/>
        <v>0</v>
      </c>
      <c r="AF20" s="325">
        <f t="shared" si="3"/>
        <v>6.2823705200100971E-2</v>
      </c>
      <c r="AG20" s="325">
        <f t="shared" si="3"/>
        <v>1.958401826773656E-2</v>
      </c>
      <c r="AH20" s="325">
        <f t="shared" si="3"/>
        <v>0</v>
      </c>
      <c r="AI20" s="325">
        <f t="shared" si="3"/>
        <v>2.2680789381327702</v>
      </c>
      <c r="AJ20" s="447">
        <f t="shared" si="4"/>
        <v>1.469696529889682</v>
      </c>
      <c r="AK20" s="447">
        <f t="shared" si="5"/>
        <v>0.79838240824308826</v>
      </c>
    </row>
    <row r="21" spans="2:37" s="63" customFormat="1" ht="12.75" x14ac:dyDescent="0.2">
      <c r="B21" s="325">
        <f t="shared" si="1"/>
        <v>2009</v>
      </c>
      <c r="C21" s="394">
        <v>40057</v>
      </c>
      <c r="D21" s="395">
        <v>21089.928935</v>
      </c>
      <c r="E21" s="395">
        <v>9885.217799</v>
      </c>
      <c r="F21" s="395"/>
      <c r="G21" s="395">
        <v>957.69102899999996</v>
      </c>
      <c r="H21" s="395">
        <v>240.836118</v>
      </c>
      <c r="I21" s="395">
        <v>0</v>
      </c>
      <c r="J21" s="395">
        <v>32173.673880999999</v>
      </c>
      <c r="K21" s="395">
        <v>8940.9794600000005</v>
      </c>
      <c r="L21" s="395">
        <v>6954.4550010000003</v>
      </c>
      <c r="M21" s="395"/>
      <c r="N21" s="395">
        <v>989.77764300000001</v>
      </c>
      <c r="O21" s="395">
        <v>186.41322299999999</v>
      </c>
      <c r="P21" s="395">
        <v>0</v>
      </c>
      <c r="Q21" s="395">
        <v>17071.625327000002</v>
      </c>
      <c r="R21" s="395">
        <v>30030.908394999999</v>
      </c>
      <c r="S21" s="395">
        <v>16839.6728</v>
      </c>
      <c r="T21" s="395"/>
      <c r="U21" s="395">
        <v>1947.468672</v>
      </c>
      <c r="V21" s="395">
        <v>427.24934100000002</v>
      </c>
      <c r="W21" s="396">
        <v>0</v>
      </c>
      <c r="X21" s="395">
        <v>49245.299207999997</v>
      </c>
      <c r="Y21" s="397"/>
      <c r="Z21" s="325">
        <f t="shared" si="2"/>
        <v>2009</v>
      </c>
      <c r="AA21" s="394">
        <v>40057</v>
      </c>
      <c r="AB21" s="398">
        <f>'AUX UF'!C20</f>
        <v>20874.760999999999</v>
      </c>
      <c r="AC21" s="325">
        <f t="shared" si="3"/>
        <v>1.4386228611192244</v>
      </c>
      <c r="AD21" s="325">
        <f t="shared" si="3"/>
        <v>0.80670014856697048</v>
      </c>
      <c r="AE21" s="325">
        <f t="shared" si="3"/>
        <v>0</v>
      </c>
      <c r="AF21" s="325">
        <f t="shared" si="3"/>
        <v>9.3292980551968954E-2</v>
      </c>
      <c r="AG21" s="325">
        <f t="shared" si="3"/>
        <v>2.0467268631243252E-2</v>
      </c>
      <c r="AH21" s="325">
        <f t="shared" si="3"/>
        <v>0</v>
      </c>
      <c r="AI21" s="325">
        <f t="shared" si="3"/>
        <v>2.3590832588694068</v>
      </c>
      <c r="AJ21" s="447">
        <f t="shared" si="4"/>
        <v>1.5412714847849036</v>
      </c>
      <c r="AK21" s="447">
        <f t="shared" si="5"/>
        <v>0.81781177408450345</v>
      </c>
    </row>
    <row r="22" spans="2:37" s="63" customFormat="1" ht="12.75" x14ac:dyDescent="0.2">
      <c r="B22" s="325">
        <f t="shared" si="1"/>
        <v>2009</v>
      </c>
      <c r="C22" s="394">
        <v>40087</v>
      </c>
      <c r="D22" s="395">
        <v>21514.109165999998</v>
      </c>
      <c r="E22" s="395">
        <v>10213.584933</v>
      </c>
      <c r="F22" s="395"/>
      <c r="G22" s="395">
        <v>4711.0963140000003</v>
      </c>
      <c r="H22" s="395">
        <v>432.33183500000001</v>
      </c>
      <c r="I22" s="395">
        <v>0</v>
      </c>
      <c r="J22" s="395">
        <v>36871.122248</v>
      </c>
      <c r="K22" s="395">
        <v>9151.9873279999993</v>
      </c>
      <c r="L22" s="395">
        <v>7026.2238299999999</v>
      </c>
      <c r="M22" s="395"/>
      <c r="N22" s="395">
        <v>2976.2027509999998</v>
      </c>
      <c r="O22" s="395">
        <v>324.54082899999997</v>
      </c>
      <c r="P22" s="395">
        <v>0</v>
      </c>
      <c r="Q22" s="395">
        <v>19478.954738</v>
      </c>
      <c r="R22" s="395">
        <v>30666.096494000001</v>
      </c>
      <c r="S22" s="395">
        <v>17239.808763000001</v>
      </c>
      <c r="T22" s="395"/>
      <c r="U22" s="395">
        <v>7687.2990650000002</v>
      </c>
      <c r="V22" s="395">
        <v>756.87266399999999</v>
      </c>
      <c r="W22" s="396">
        <v>0</v>
      </c>
      <c r="X22" s="395">
        <v>56350.076986</v>
      </c>
      <c r="Y22" s="397"/>
      <c r="Z22" s="325">
        <f t="shared" si="2"/>
        <v>2009</v>
      </c>
      <c r="AA22" s="394">
        <v>40087</v>
      </c>
      <c r="AB22" s="398">
        <f>'AUX UF'!C21</f>
        <v>20867.2925806452</v>
      </c>
      <c r="AC22" s="325">
        <f t="shared" si="3"/>
        <v>1.4695771564751707</v>
      </c>
      <c r="AD22" s="325">
        <f t="shared" si="3"/>
        <v>0.82616413683633505</v>
      </c>
      <c r="AE22" s="325">
        <f t="shared" si="3"/>
        <v>0</v>
      </c>
      <c r="AF22" s="325">
        <f t="shared" si="3"/>
        <v>0.36838986348090563</v>
      </c>
      <c r="AG22" s="325">
        <f t="shared" si="3"/>
        <v>3.6270764933924074E-2</v>
      </c>
      <c r="AH22" s="325">
        <f t="shared" si="3"/>
        <v>0</v>
      </c>
      <c r="AI22" s="325">
        <f t="shared" si="3"/>
        <v>2.7004019217263355</v>
      </c>
      <c r="AJ22" s="447">
        <f t="shared" si="4"/>
        <v>1.766933688474692</v>
      </c>
      <c r="AK22" s="447">
        <f t="shared" si="5"/>
        <v>0.9334682332516433</v>
      </c>
    </row>
    <row r="23" spans="2:37" s="63" customFormat="1" ht="12.75" x14ac:dyDescent="0.2">
      <c r="B23" s="325">
        <f t="shared" si="1"/>
        <v>2009</v>
      </c>
      <c r="C23" s="394">
        <v>40118</v>
      </c>
      <c r="D23" s="395">
        <v>20985.331285</v>
      </c>
      <c r="E23" s="395">
        <v>10114.403630000001</v>
      </c>
      <c r="F23" s="395"/>
      <c r="G23" s="395">
        <v>2839.6532900000002</v>
      </c>
      <c r="H23" s="395">
        <v>379.20182199999999</v>
      </c>
      <c r="I23" s="395">
        <v>0</v>
      </c>
      <c r="J23" s="395">
        <v>34318.590026999998</v>
      </c>
      <c r="K23" s="395">
        <v>9007.3250840000001</v>
      </c>
      <c r="L23" s="395">
        <v>6973.3917959999999</v>
      </c>
      <c r="M23" s="395"/>
      <c r="N23" s="395">
        <v>2120.0020260000001</v>
      </c>
      <c r="O23" s="395">
        <v>289.394586</v>
      </c>
      <c r="P23" s="395">
        <v>0</v>
      </c>
      <c r="Q23" s="395">
        <v>18390.113492</v>
      </c>
      <c r="R23" s="395">
        <v>29992.656369</v>
      </c>
      <c r="S23" s="395">
        <v>17087.795426000001</v>
      </c>
      <c r="T23" s="395"/>
      <c r="U23" s="395">
        <v>4959.6553160000003</v>
      </c>
      <c r="V23" s="395">
        <v>668.596408</v>
      </c>
      <c r="W23" s="396">
        <v>0</v>
      </c>
      <c r="X23" s="395">
        <v>52708.703519000002</v>
      </c>
      <c r="Y23" s="397"/>
      <c r="Z23" s="325">
        <f t="shared" si="2"/>
        <v>2009</v>
      </c>
      <c r="AA23" s="394">
        <v>40118</v>
      </c>
      <c r="AB23" s="398">
        <f>'AUX UF'!C22</f>
        <v>21009.4233333333</v>
      </c>
      <c r="AC23" s="325">
        <f t="shared" si="3"/>
        <v>1.4275811331486672</v>
      </c>
      <c r="AD23" s="325">
        <f t="shared" si="3"/>
        <v>0.81333957409905244</v>
      </c>
      <c r="AE23" s="325">
        <f t="shared" si="3"/>
        <v>0</v>
      </c>
      <c r="AF23" s="325">
        <f t="shared" si="3"/>
        <v>0.23606813177642388</v>
      </c>
      <c r="AG23" s="325">
        <f t="shared" si="3"/>
        <v>3.1823643961669951E-2</v>
      </c>
      <c r="AH23" s="325">
        <f t="shared" si="3"/>
        <v>0</v>
      </c>
      <c r="AI23" s="325">
        <f t="shared" si="3"/>
        <v>2.5088124829858134</v>
      </c>
      <c r="AJ23" s="447">
        <f t="shared" si="4"/>
        <v>1.6334855784713773</v>
      </c>
      <c r="AK23" s="447">
        <f t="shared" si="5"/>
        <v>0.87532690451443596</v>
      </c>
    </row>
    <row r="24" spans="2:37" s="63" customFormat="1" ht="12.75" x14ac:dyDescent="0.2">
      <c r="B24" s="325">
        <f t="shared" si="1"/>
        <v>2009</v>
      </c>
      <c r="C24" s="394">
        <v>40148</v>
      </c>
      <c r="D24" s="395">
        <v>21832.267360999998</v>
      </c>
      <c r="E24" s="395">
        <v>10746.564431999999</v>
      </c>
      <c r="F24" s="395"/>
      <c r="G24" s="395">
        <v>3411.337309</v>
      </c>
      <c r="H24" s="395">
        <v>462.48930300000001</v>
      </c>
      <c r="I24" s="395">
        <v>0</v>
      </c>
      <c r="J24" s="395">
        <v>36452.658405000002</v>
      </c>
      <c r="K24" s="395">
        <v>9265.8681359999991</v>
      </c>
      <c r="L24" s="395">
        <v>7170.1163210000004</v>
      </c>
      <c r="M24" s="395"/>
      <c r="N24" s="395">
        <v>2651.9488240000001</v>
      </c>
      <c r="O24" s="395">
        <v>345.57085799999999</v>
      </c>
      <c r="P24" s="395">
        <v>0</v>
      </c>
      <c r="Q24" s="395">
        <v>19433.504139000001</v>
      </c>
      <c r="R24" s="395">
        <v>31098.135496999999</v>
      </c>
      <c r="S24" s="395">
        <v>17916.680753000001</v>
      </c>
      <c r="T24" s="395"/>
      <c r="U24" s="395">
        <v>6063.2861329999996</v>
      </c>
      <c r="V24" s="395">
        <v>808.06016099999999</v>
      </c>
      <c r="W24" s="396">
        <v>0</v>
      </c>
      <c r="X24" s="395">
        <v>55886.162543999999</v>
      </c>
      <c r="Y24" s="397"/>
      <c r="Z24" s="325">
        <f t="shared" si="2"/>
        <v>2009</v>
      </c>
      <c r="AA24" s="394">
        <v>40148</v>
      </c>
      <c r="AB24" s="398">
        <f>'AUX UF'!C23</f>
        <v>20989.8083870968</v>
      </c>
      <c r="AC24" s="325">
        <f t="shared" si="3"/>
        <v>1.4815826292210059</v>
      </c>
      <c r="AD24" s="325">
        <f t="shared" si="3"/>
        <v>0.853589533671686</v>
      </c>
      <c r="AE24" s="325">
        <f t="shared" si="3"/>
        <v>0</v>
      </c>
      <c r="AF24" s="325">
        <f t="shared" si="3"/>
        <v>0.28886810308984634</v>
      </c>
      <c r="AG24" s="325">
        <f t="shared" si="3"/>
        <v>3.8497738811981916E-2</v>
      </c>
      <c r="AH24" s="325">
        <f t="shared" si="3"/>
        <v>0</v>
      </c>
      <c r="AI24" s="325">
        <f t="shared" si="3"/>
        <v>2.66253800479452</v>
      </c>
      <c r="AJ24" s="447">
        <f t="shared" si="4"/>
        <v>1.7366837149122705</v>
      </c>
      <c r="AK24" s="447">
        <f t="shared" si="5"/>
        <v>0.92585428988224983</v>
      </c>
    </row>
    <row r="25" spans="2:37" s="63" customFormat="1" ht="12.75" x14ac:dyDescent="0.2">
      <c r="B25" s="325">
        <f t="shared" si="1"/>
        <v>2010</v>
      </c>
      <c r="C25" s="394">
        <v>40179</v>
      </c>
      <c r="D25" s="395">
        <v>21326.987045999998</v>
      </c>
      <c r="E25" s="395">
        <v>10077.852774999999</v>
      </c>
      <c r="F25" s="395"/>
      <c r="G25" s="395">
        <v>3231.9974950000001</v>
      </c>
      <c r="H25" s="395">
        <v>471.50343099999998</v>
      </c>
      <c r="I25" s="395">
        <v>0</v>
      </c>
      <c r="J25" s="395">
        <v>35108.340747000002</v>
      </c>
      <c r="K25" s="395">
        <v>9093.8959269999996</v>
      </c>
      <c r="L25" s="395">
        <v>6976.1734390000001</v>
      </c>
      <c r="M25" s="395"/>
      <c r="N25" s="395">
        <v>2379.907921</v>
      </c>
      <c r="O25" s="395">
        <v>351.938424</v>
      </c>
      <c r="P25" s="395">
        <v>0</v>
      </c>
      <c r="Q25" s="395">
        <v>18801.915711000001</v>
      </c>
      <c r="R25" s="395">
        <v>30420.882973</v>
      </c>
      <c r="S25" s="395">
        <v>17054.026214000001</v>
      </c>
      <c r="T25" s="395"/>
      <c r="U25" s="395">
        <v>5611.9054159999996</v>
      </c>
      <c r="V25" s="395">
        <v>823.44185500000003</v>
      </c>
      <c r="W25" s="396">
        <v>0</v>
      </c>
      <c r="X25" s="395">
        <v>53910.256458000003</v>
      </c>
      <c r="Y25" s="397"/>
      <c r="Z25" s="325">
        <f t="shared" si="2"/>
        <v>2010</v>
      </c>
      <c r="AA25" s="394">
        <v>40179</v>
      </c>
      <c r="AB25" s="398">
        <f>'AUX UF'!C24</f>
        <v>20899.82</v>
      </c>
      <c r="AC25" s="325">
        <f t="shared" si="3"/>
        <v>1.4555571757555807</v>
      </c>
      <c r="AD25" s="325">
        <f t="shared" si="3"/>
        <v>0.81598914316008475</v>
      </c>
      <c r="AE25" s="325">
        <f t="shared" si="3"/>
        <v>0</v>
      </c>
      <c r="AF25" s="325">
        <f t="shared" si="3"/>
        <v>0.26851453342660364</v>
      </c>
      <c r="AG25" s="325">
        <f t="shared" si="3"/>
        <v>3.9399471143770619E-2</v>
      </c>
      <c r="AH25" s="325">
        <f t="shared" si="3"/>
        <v>0</v>
      </c>
      <c r="AI25" s="325">
        <f t="shared" si="3"/>
        <v>2.5794603234860398</v>
      </c>
      <c r="AJ25" s="447">
        <f t="shared" si="4"/>
        <v>1.6798393836406247</v>
      </c>
      <c r="AK25" s="447">
        <f t="shared" si="5"/>
        <v>0.89962093984541502</v>
      </c>
    </row>
    <row r="26" spans="2:37" s="63" customFormat="1" ht="12.75" x14ac:dyDescent="0.2">
      <c r="B26" s="325">
        <f t="shared" si="1"/>
        <v>2010</v>
      </c>
      <c r="C26" s="394">
        <v>40210</v>
      </c>
      <c r="D26" s="395">
        <v>20993.952795000001</v>
      </c>
      <c r="E26" s="395">
        <v>9276.8807639999995</v>
      </c>
      <c r="F26" s="395"/>
      <c r="G26" s="395">
        <v>3484.5200679999998</v>
      </c>
      <c r="H26" s="395">
        <v>477.91572400000001</v>
      </c>
      <c r="I26" s="395">
        <v>0</v>
      </c>
      <c r="J26" s="395">
        <v>34233.269351000003</v>
      </c>
      <c r="K26" s="395">
        <v>8969.0813789999993</v>
      </c>
      <c r="L26" s="395">
        <v>6677.6918750000004</v>
      </c>
      <c r="M26" s="395"/>
      <c r="N26" s="395">
        <v>2506.9076009999999</v>
      </c>
      <c r="O26" s="395">
        <v>365.19465500000001</v>
      </c>
      <c r="P26" s="395">
        <v>0</v>
      </c>
      <c r="Q26" s="395">
        <v>18518.875510000002</v>
      </c>
      <c r="R26" s="395">
        <v>29963.034174</v>
      </c>
      <c r="S26" s="395">
        <v>15954.572639</v>
      </c>
      <c r="T26" s="395"/>
      <c r="U26" s="395">
        <v>5991.4276689999997</v>
      </c>
      <c r="V26" s="395">
        <v>843.11037899999997</v>
      </c>
      <c r="W26" s="396">
        <v>0</v>
      </c>
      <c r="X26" s="395">
        <v>52752.144861000001</v>
      </c>
      <c r="Y26" s="397"/>
      <c r="Z26" s="325">
        <f t="shared" si="2"/>
        <v>2010</v>
      </c>
      <c r="AA26" s="394">
        <v>40210</v>
      </c>
      <c r="AB26" s="398">
        <f>'AUX UF'!C25</f>
        <v>20877.509285714299</v>
      </c>
      <c r="AC26" s="325">
        <f t="shared" si="3"/>
        <v>1.435182413953114</v>
      </c>
      <c r="AD26" s="325">
        <f t="shared" si="3"/>
        <v>0.7641990440841101</v>
      </c>
      <c r="AE26" s="325">
        <f t="shared" si="3"/>
        <v>0</v>
      </c>
      <c r="AF26" s="325">
        <f t="shared" si="3"/>
        <v>0.28698000259541068</v>
      </c>
      <c r="AG26" s="325">
        <f t="shared" si="3"/>
        <v>4.0383666818766976E-2</v>
      </c>
      <c r="AH26" s="325">
        <f t="shared" si="3"/>
        <v>0</v>
      </c>
      <c r="AI26" s="325">
        <f t="shared" si="3"/>
        <v>2.5267451274514019</v>
      </c>
      <c r="AJ26" s="447">
        <f t="shared" si="4"/>
        <v>1.6397199916191416</v>
      </c>
      <c r="AK26" s="447">
        <f t="shared" si="5"/>
        <v>0.88702513583226028</v>
      </c>
    </row>
    <row r="27" spans="2:37" s="63" customFormat="1" ht="12.75" x14ac:dyDescent="0.2">
      <c r="B27" s="325">
        <f t="shared" si="1"/>
        <v>2010</v>
      </c>
      <c r="C27" s="394">
        <v>40238</v>
      </c>
      <c r="D27" s="395">
        <v>21922.751113999999</v>
      </c>
      <c r="E27" s="395">
        <v>10251.381058000001</v>
      </c>
      <c r="F27" s="395"/>
      <c r="G27" s="395">
        <v>3992.2058029999998</v>
      </c>
      <c r="H27" s="395">
        <v>550.24724500000002</v>
      </c>
      <c r="I27" s="395">
        <v>0</v>
      </c>
      <c r="J27" s="395">
        <v>36716.585220000001</v>
      </c>
      <c r="K27" s="395">
        <v>9156.3927530000001</v>
      </c>
      <c r="L27" s="395">
        <v>7034.2201590000004</v>
      </c>
      <c r="M27" s="395"/>
      <c r="N27" s="395">
        <v>3086.123204</v>
      </c>
      <c r="O27" s="395">
        <v>403.71606500000001</v>
      </c>
      <c r="P27" s="395">
        <v>0</v>
      </c>
      <c r="Q27" s="395">
        <v>19680.452181000001</v>
      </c>
      <c r="R27" s="395">
        <v>31079.143866999999</v>
      </c>
      <c r="S27" s="395">
        <v>17285.601216999999</v>
      </c>
      <c r="T27" s="395"/>
      <c r="U27" s="395">
        <v>7078.3290070000003</v>
      </c>
      <c r="V27" s="395">
        <v>953.96330999999998</v>
      </c>
      <c r="W27" s="396">
        <v>0</v>
      </c>
      <c r="X27" s="395">
        <v>56397.037401000001</v>
      </c>
      <c r="Y27" s="397"/>
      <c r="Z27" s="325">
        <f t="shared" si="2"/>
        <v>2010</v>
      </c>
      <c r="AA27" s="394">
        <v>40238</v>
      </c>
      <c r="AB27" s="398">
        <f>'AUX UF'!C26</f>
        <v>20966.133548387101</v>
      </c>
      <c r="AC27" s="325">
        <f t="shared" si="3"/>
        <v>1.4823497997507928</v>
      </c>
      <c r="AD27" s="325">
        <f t="shared" si="3"/>
        <v>0.82445345380954893</v>
      </c>
      <c r="AE27" s="325">
        <f t="shared" si="3"/>
        <v>0</v>
      </c>
      <c r="AF27" s="325">
        <f t="shared" si="3"/>
        <v>0.33760774206002936</v>
      </c>
      <c r="AG27" s="325">
        <f t="shared" si="3"/>
        <v>4.5500201923181362E-2</v>
      </c>
      <c r="AH27" s="325">
        <f t="shared" si="3"/>
        <v>0</v>
      </c>
      <c r="AI27" s="325">
        <f t="shared" si="3"/>
        <v>2.6899111975435526</v>
      </c>
      <c r="AJ27" s="447">
        <f t="shared" si="4"/>
        <v>1.751233012766179</v>
      </c>
      <c r="AK27" s="447">
        <f t="shared" si="5"/>
        <v>0.93867818477737375</v>
      </c>
    </row>
    <row r="28" spans="2:37" s="63" customFormat="1" ht="12.75" x14ac:dyDescent="0.2">
      <c r="B28" s="325">
        <f t="shared" si="1"/>
        <v>2010</v>
      </c>
      <c r="C28" s="394">
        <v>40269</v>
      </c>
      <c r="D28" s="395">
        <v>21534.048636</v>
      </c>
      <c r="E28" s="395">
        <v>9769.5811159999994</v>
      </c>
      <c r="F28" s="395"/>
      <c r="G28" s="395">
        <v>3533.379966</v>
      </c>
      <c r="H28" s="395">
        <v>551.55342399999995</v>
      </c>
      <c r="I28" s="395">
        <v>0</v>
      </c>
      <c r="J28" s="395">
        <v>35388.563141999999</v>
      </c>
      <c r="K28" s="395">
        <v>9163.0065290000002</v>
      </c>
      <c r="L28" s="395">
        <v>6902.0708979999999</v>
      </c>
      <c r="M28" s="395"/>
      <c r="N28" s="395">
        <v>2589.4953639999999</v>
      </c>
      <c r="O28" s="395">
        <v>402.94671199999999</v>
      </c>
      <c r="P28" s="395">
        <v>0</v>
      </c>
      <c r="Q28" s="395">
        <v>19057.519503</v>
      </c>
      <c r="R28" s="395">
        <v>30697.055165000002</v>
      </c>
      <c r="S28" s="395">
        <v>16671.652013999999</v>
      </c>
      <c r="T28" s="395"/>
      <c r="U28" s="395">
        <v>6122.8753299999998</v>
      </c>
      <c r="V28" s="395">
        <v>954.500136</v>
      </c>
      <c r="W28" s="396">
        <v>0</v>
      </c>
      <c r="X28" s="395">
        <v>54446.082645000002</v>
      </c>
      <c r="Y28" s="397"/>
      <c r="Z28" s="325">
        <f t="shared" si="2"/>
        <v>2010</v>
      </c>
      <c r="AA28" s="394">
        <v>40269</v>
      </c>
      <c r="AB28" s="398">
        <f>'AUX UF'!C27</f>
        <v>21019.746666666699</v>
      </c>
      <c r="AC28" s="325">
        <f t="shared" si="3"/>
        <v>1.4603913002281643</v>
      </c>
      <c r="AD28" s="325">
        <f t="shared" si="3"/>
        <v>0.79314238550924376</v>
      </c>
      <c r="AE28" s="325">
        <f t="shared" si="3"/>
        <v>0</v>
      </c>
      <c r="AF28" s="325">
        <f t="shared" si="3"/>
        <v>0.29129158534102173</v>
      </c>
      <c r="AG28" s="325">
        <f t="shared" si="3"/>
        <v>4.5409687906165626E-2</v>
      </c>
      <c r="AH28" s="325">
        <f t="shared" si="3"/>
        <v>0</v>
      </c>
      <c r="AI28" s="325">
        <f t="shared" si="3"/>
        <v>2.5902349589845954</v>
      </c>
      <c r="AJ28" s="447">
        <f t="shared" si="4"/>
        <v>1.6835865675831145</v>
      </c>
      <c r="AK28" s="447">
        <f t="shared" si="5"/>
        <v>0.90664839140148079</v>
      </c>
    </row>
    <row r="29" spans="2:37" s="63" customFormat="1" ht="12.75" x14ac:dyDescent="0.2">
      <c r="B29" s="325">
        <f t="shared" si="1"/>
        <v>2010</v>
      </c>
      <c r="C29" s="394">
        <v>40299</v>
      </c>
      <c r="D29" s="395">
        <v>21690.650935999998</v>
      </c>
      <c r="E29" s="395">
        <v>9809.6966979999997</v>
      </c>
      <c r="F29" s="395"/>
      <c r="G29" s="395">
        <v>3677.4894800000002</v>
      </c>
      <c r="H29" s="395">
        <v>607.87459799999999</v>
      </c>
      <c r="I29" s="395">
        <v>0</v>
      </c>
      <c r="J29" s="395">
        <v>35785.711711999997</v>
      </c>
      <c r="K29" s="395">
        <v>9140.8483080000005</v>
      </c>
      <c r="L29" s="395">
        <v>6886.4424900000004</v>
      </c>
      <c r="M29" s="395"/>
      <c r="N29" s="395">
        <v>2776.372445</v>
      </c>
      <c r="O29" s="395">
        <v>437.436151</v>
      </c>
      <c r="P29" s="395">
        <v>0</v>
      </c>
      <c r="Q29" s="395">
        <v>19241.099394000001</v>
      </c>
      <c r="R29" s="395">
        <v>30831.499243999999</v>
      </c>
      <c r="S29" s="395">
        <v>16696.139188000001</v>
      </c>
      <c r="T29" s="395"/>
      <c r="U29" s="395">
        <v>6453.8619250000002</v>
      </c>
      <c r="V29" s="395">
        <v>1045.310749</v>
      </c>
      <c r="W29" s="396">
        <v>0</v>
      </c>
      <c r="X29" s="395">
        <v>55026.811106000001</v>
      </c>
      <c r="Y29" s="397"/>
      <c r="Z29" s="325">
        <f t="shared" si="2"/>
        <v>2010</v>
      </c>
      <c r="AA29" s="394">
        <v>40299</v>
      </c>
      <c r="AB29" s="398">
        <f>'AUX UF'!C28</f>
        <v>21064.6529032258</v>
      </c>
      <c r="AC29" s="325">
        <f t="shared" si="3"/>
        <v>1.4636604450899129</v>
      </c>
      <c r="AD29" s="325">
        <f t="shared" si="3"/>
        <v>0.7926140185981031</v>
      </c>
      <c r="AE29" s="325">
        <f t="shared" si="3"/>
        <v>0</v>
      </c>
      <c r="AF29" s="325">
        <f t="shared" si="3"/>
        <v>0.30638349250994151</v>
      </c>
      <c r="AG29" s="325">
        <f t="shared" si="3"/>
        <v>4.9623924676201199E-2</v>
      </c>
      <c r="AH29" s="325">
        <f t="shared" si="3"/>
        <v>0</v>
      </c>
      <c r="AI29" s="325">
        <f t="shared" si="3"/>
        <v>2.6122818808741588</v>
      </c>
      <c r="AJ29" s="447">
        <f t="shared" si="4"/>
        <v>1.6988512403411045</v>
      </c>
      <c r="AK29" s="447">
        <f t="shared" si="5"/>
        <v>0.91343064053305412</v>
      </c>
    </row>
    <row r="30" spans="2:37" s="63" customFormat="1" ht="12.75" x14ac:dyDescent="0.2">
      <c r="B30" s="325">
        <f t="shared" si="1"/>
        <v>2010</v>
      </c>
      <c r="C30" s="394">
        <v>40330</v>
      </c>
      <c r="D30" s="395">
        <v>21677.022112999999</v>
      </c>
      <c r="E30" s="395">
        <v>9954.7878010000004</v>
      </c>
      <c r="F30" s="395"/>
      <c r="G30" s="395">
        <v>3903.6546229999999</v>
      </c>
      <c r="H30" s="395">
        <v>737.63170500000001</v>
      </c>
      <c r="I30" s="395">
        <v>0</v>
      </c>
      <c r="J30" s="395">
        <v>36273.096242</v>
      </c>
      <c r="K30" s="395">
        <v>9129.2844999999998</v>
      </c>
      <c r="L30" s="395">
        <v>6939.7246180000002</v>
      </c>
      <c r="M30" s="395"/>
      <c r="N30" s="395">
        <v>2812.1837690000002</v>
      </c>
      <c r="O30" s="395">
        <v>519.39626699999997</v>
      </c>
      <c r="P30" s="395">
        <v>0</v>
      </c>
      <c r="Q30" s="395">
        <v>19400.589154000001</v>
      </c>
      <c r="R30" s="395">
        <v>30806.306613000001</v>
      </c>
      <c r="S30" s="395">
        <v>16894.512418999999</v>
      </c>
      <c r="T30" s="395"/>
      <c r="U30" s="395">
        <v>6715.8383919999997</v>
      </c>
      <c r="V30" s="395">
        <v>1257.0279720000001</v>
      </c>
      <c r="W30" s="396">
        <v>0</v>
      </c>
      <c r="X30" s="395">
        <v>55673.685396000001</v>
      </c>
      <c r="Y30" s="397"/>
      <c r="Z30" s="325">
        <f t="shared" si="2"/>
        <v>2010</v>
      </c>
      <c r="AA30" s="394">
        <v>40330</v>
      </c>
      <c r="AB30" s="398">
        <f>'AUX UF'!C29</f>
        <v>21160.6033333333</v>
      </c>
      <c r="AC30" s="325">
        <f t="shared" si="3"/>
        <v>1.4558330935901189</v>
      </c>
      <c r="AD30" s="325">
        <f t="shared" si="3"/>
        <v>0.79839464654520842</v>
      </c>
      <c r="AE30" s="325">
        <f t="shared" si="3"/>
        <v>0</v>
      </c>
      <c r="AF30" s="325">
        <f t="shared" si="3"/>
        <v>0.31737461764244013</v>
      </c>
      <c r="AG30" s="325">
        <f t="shared" si="3"/>
        <v>5.9404165004117028E-2</v>
      </c>
      <c r="AH30" s="325">
        <f t="shared" si="3"/>
        <v>0</v>
      </c>
      <c r="AI30" s="325">
        <f t="shared" si="3"/>
        <v>2.6310065227818846</v>
      </c>
      <c r="AJ30" s="447">
        <f t="shared" si="4"/>
        <v>1.714180624749045</v>
      </c>
      <c r="AK30" s="447">
        <f t="shared" si="5"/>
        <v>0.91682589803283954</v>
      </c>
    </row>
    <row r="31" spans="2:37" s="63" customFormat="1" ht="12.75" x14ac:dyDescent="0.2">
      <c r="B31" s="325">
        <f t="shared" si="1"/>
        <v>2010</v>
      </c>
      <c r="C31" s="394">
        <v>40360</v>
      </c>
      <c r="D31" s="395">
        <v>21991.648255</v>
      </c>
      <c r="E31" s="395">
        <v>10060.863533</v>
      </c>
      <c r="F31" s="395"/>
      <c r="G31" s="395">
        <v>6978.0038930000001</v>
      </c>
      <c r="H31" s="395">
        <v>725.53388500000005</v>
      </c>
      <c r="I31" s="395">
        <v>0</v>
      </c>
      <c r="J31" s="395">
        <v>39756.049566000002</v>
      </c>
      <c r="K31" s="395">
        <v>9257.0485279999994</v>
      </c>
      <c r="L31" s="395">
        <v>7040.667289</v>
      </c>
      <c r="M31" s="395"/>
      <c r="N31" s="395">
        <v>5016.3314460000001</v>
      </c>
      <c r="O31" s="395">
        <v>530.83152299999995</v>
      </c>
      <c r="P31" s="395">
        <v>0</v>
      </c>
      <c r="Q31" s="395">
        <v>21844.878786000001</v>
      </c>
      <c r="R31" s="395">
        <v>31248.696782999999</v>
      </c>
      <c r="S31" s="395">
        <v>17101.530822000001</v>
      </c>
      <c r="T31" s="395"/>
      <c r="U31" s="395">
        <v>11994.335338999999</v>
      </c>
      <c r="V31" s="395">
        <v>1256.3654079999999</v>
      </c>
      <c r="W31" s="396">
        <v>0</v>
      </c>
      <c r="X31" s="395">
        <v>61600.928352000003</v>
      </c>
      <c r="Y31" s="397"/>
      <c r="Z31" s="325">
        <f t="shared" si="2"/>
        <v>2010</v>
      </c>
      <c r="AA31" s="394">
        <v>40360</v>
      </c>
      <c r="AB31" s="398">
        <f>'AUX UF'!C30</f>
        <v>21224.291612903198</v>
      </c>
      <c r="AC31" s="325">
        <f t="shared" si="3"/>
        <v>1.4723081152919382</v>
      </c>
      <c r="AD31" s="325">
        <f t="shared" si="3"/>
        <v>0.80575272588147129</v>
      </c>
      <c r="AE31" s="325">
        <f t="shared" si="3"/>
        <v>0</v>
      </c>
      <c r="AF31" s="325">
        <f t="shared" si="3"/>
        <v>0.56512299952136469</v>
      </c>
      <c r="AG31" s="325">
        <f t="shared" si="3"/>
        <v>5.9194692143986517E-2</v>
      </c>
      <c r="AH31" s="325">
        <f t="shared" si="3"/>
        <v>0</v>
      </c>
      <c r="AI31" s="325">
        <f t="shared" si="3"/>
        <v>2.9023785328387608</v>
      </c>
      <c r="AJ31" s="447">
        <f t="shared" si="4"/>
        <v>1.8731390564682271</v>
      </c>
      <c r="AK31" s="447">
        <f t="shared" si="5"/>
        <v>1.0292394763705339</v>
      </c>
    </row>
    <row r="32" spans="2:37" s="63" customFormat="1" ht="12.75" x14ac:dyDescent="0.2">
      <c r="B32" s="325">
        <f t="shared" si="1"/>
        <v>2010</v>
      </c>
      <c r="C32" s="394">
        <v>40391</v>
      </c>
      <c r="D32" s="395">
        <v>22135.189880999998</v>
      </c>
      <c r="E32" s="395">
        <v>10002.980707999999</v>
      </c>
      <c r="F32" s="395"/>
      <c r="G32" s="395">
        <v>7437.8836940000001</v>
      </c>
      <c r="H32" s="395">
        <v>741.39803099999995</v>
      </c>
      <c r="I32" s="395">
        <v>0</v>
      </c>
      <c r="J32" s="395">
        <v>40317.452314000002</v>
      </c>
      <c r="K32" s="395">
        <v>9241.1099790000007</v>
      </c>
      <c r="L32" s="395">
        <v>6999.1822050000001</v>
      </c>
      <c r="M32" s="395"/>
      <c r="N32" s="395">
        <v>5234.6407920000001</v>
      </c>
      <c r="O32" s="395">
        <v>544.85830399999998</v>
      </c>
      <c r="P32" s="395">
        <v>0</v>
      </c>
      <c r="Q32" s="395">
        <v>22019.791280000001</v>
      </c>
      <c r="R32" s="395">
        <v>31376.299859999999</v>
      </c>
      <c r="S32" s="395">
        <v>17002.162913</v>
      </c>
      <c r="T32" s="395"/>
      <c r="U32" s="395">
        <v>12672.524486</v>
      </c>
      <c r="V32" s="395">
        <v>1286.256335</v>
      </c>
      <c r="W32" s="396">
        <v>0</v>
      </c>
      <c r="X32" s="395">
        <v>62337.243594</v>
      </c>
      <c r="Y32" s="397"/>
      <c r="Z32" s="325">
        <f t="shared" si="2"/>
        <v>2010</v>
      </c>
      <c r="AA32" s="394">
        <v>40391</v>
      </c>
      <c r="AB32" s="398">
        <f>'AUX UF'!C31</f>
        <v>21261.049032258099</v>
      </c>
      <c r="AC32" s="325">
        <f t="shared" si="3"/>
        <v>1.4757644278226649</v>
      </c>
      <c r="AD32" s="325">
        <f t="shared" si="3"/>
        <v>0.79968598384791134</v>
      </c>
      <c r="AE32" s="325">
        <f t="shared" si="3"/>
        <v>0</v>
      </c>
      <c r="AF32" s="325">
        <f t="shared" si="3"/>
        <v>0.59604417763078144</v>
      </c>
      <c r="AG32" s="325">
        <f t="shared" si="3"/>
        <v>6.0498253545647786E-2</v>
      </c>
      <c r="AH32" s="325">
        <f t="shared" si="3"/>
        <v>0</v>
      </c>
      <c r="AI32" s="325">
        <f t="shared" si="3"/>
        <v>2.9319928428470057</v>
      </c>
      <c r="AJ32" s="447">
        <f t="shared" si="4"/>
        <v>1.8963058809012094</v>
      </c>
      <c r="AK32" s="447">
        <f t="shared" si="5"/>
        <v>1.0356869619457962</v>
      </c>
    </row>
    <row r="33" spans="2:37" s="63" customFormat="1" ht="12.75" x14ac:dyDescent="0.2">
      <c r="B33" s="325">
        <f t="shared" si="1"/>
        <v>2010</v>
      </c>
      <c r="C33" s="394">
        <v>40422</v>
      </c>
      <c r="D33" s="395">
        <v>21771.278159000001</v>
      </c>
      <c r="E33" s="395">
        <v>10035.588641</v>
      </c>
      <c r="F33" s="395"/>
      <c r="G33" s="395">
        <v>7259.7487270000001</v>
      </c>
      <c r="H33" s="395">
        <v>696.79503999999997</v>
      </c>
      <c r="I33" s="395">
        <v>0</v>
      </c>
      <c r="J33" s="395">
        <v>39763.410566999999</v>
      </c>
      <c r="K33" s="395">
        <v>9096.5915420000001</v>
      </c>
      <c r="L33" s="395">
        <v>7033.7611829999996</v>
      </c>
      <c r="M33" s="395"/>
      <c r="N33" s="395">
        <v>5168.8930149999997</v>
      </c>
      <c r="O33" s="395">
        <v>500.634772</v>
      </c>
      <c r="P33" s="395">
        <v>0</v>
      </c>
      <c r="Q33" s="395">
        <v>21799.880512</v>
      </c>
      <c r="R33" s="395">
        <v>30867.869701</v>
      </c>
      <c r="S33" s="395">
        <v>17069.349824000001</v>
      </c>
      <c r="T33" s="395"/>
      <c r="U33" s="395">
        <v>12428.641742</v>
      </c>
      <c r="V33" s="395">
        <v>1197.4298120000001</v>
      </c>
      <c r="W33" s="396">
        <v>0</v>
      </c>
      <c r="X33" s="395">
        <v>61563.291079000002</v>
      </c>
      <c r="Y33" s="397"/>
      <c r="Z33" s="325">
        <f t="shared" si="2"/>
        <v>2010</v>
      </c>
      <c r="AA33" s="394">
        <v>40422</v>
      </c>
      <c r="AB33" s="398">
        <f>'AUX UF'!C32</f>
        <v>21344.513999999999</v>
      </c>
      <c r="AC33" s="325">
        <f t="shared" si="3"/>
        <v>1.44617346176165</v>
      </c>
      <c r="AD33" s="325">
        <f t="shared" si="3"/>
        <v>0.79970665174198863</v>
      </c>
      <c r="AE33" s="325">
        <f t="shared" si="3"/>
        <v>0</v>
      </c>
      <c r="AF33" s="325">
        <f t="shared" si="3"/>
        <v>0.5822874084647699</v>
      </c>
      <c r="AG33" s="325">
        <f t="shared" si="3"/>
        <v>5.6100120714859106E-2</v>
      </c>
      <c r="AH33" s="325">
        <f t="shared" si="3"/>
        <v>0</v>
      </c>
      <c r="AI33" s="325">
        <f t="shared" si="3"/>
        <v>2.8842676426832679</v>
      </c>
      <c r="AJ33" s="447">
        <f t="shared" si="4"/>
        <v>1.862933518514406</v>
      </c>
      <c r="AK33" s="447">
        <f t="shared" si="5"/>
        <v>1.0213341241688614</v>
      </c>
    </row>
    <row r="34" spans="2:37" s="63" customFormat="1" ht="12.75" x14ac:dyDescent="0.2">
      <c r="B34" s="325">
        <f t="shared" si="1"/>
        <v>2010</v>
      </c>
      <c r="C34" s="394">
        <v>40452</v>
      </c>
      <c r="D34" s="395">
        <v>22030.268861</v>
      </c>
      <c r="E34" s="395">
        <v>10031.869374</v>
      </c>
      <c r="F34" s="395"/>
      <c r="G34" s="395">
        <v>7907.3420169999999</v>
      </c>
      <c r="H34" s="395">
        <v>735.64210700000001</v>
      </c>
      <c r="I34" s="395">
        <v>0</v>
      </c>
      <c r="J34" s="395">
        <v>40705.122359000001</v>
      </c>
      <c r="K34" s="395">
        <v>9202.5304359999991</v>
      </c>
      <c r="L34" s="395">
        <v>7020.6725150000002</v>
      </c>
      <c r="M34" s="395"/>
      <c r="N34" s="395">
        <v>5666.357137</v>
      </c>
      <c r="O34" s="395">
        <v>525.64648899999997</v>
      </c>
      <c r="P34" s="395">
        <v>0</v>
      </c>
      <c r="Q34" s="395">
        <v>22415.206577000001</v>
      </c>
      <c r="R34" s="395">
        <v>31232.799297000001</v>
      </c>
      <c r="S34" s="395">
        <v>17052.541889</v>
      </c>
      <c r="T34" s="395"/>
      <c r="U34" s="395">
        <v>13573.699154</v>
      </c>
      <c r="V34" s="395">
        <v>1261.2885960000001</v>
      </c>
      <c r="W34" s="396">
        <v>0</v>
      </c>
      <c r="X34" s="395">
        <v>63120.328935999998</v>
      </c>
      <c r="Y34" s="397"/>
      <c r="Z34" s="325">
        <f t="shared" si="2"/>
        <v>2010</v>
      </c>
      <c r="AA34" s="394">
        <v>40452</v>
      </c>
      <c r="AB34" s="398">
        <f>'AUX UF'!C33</f>
        <v>21356.857741935499</v>
      </c>
      <c r="AC34" s="325">
        <f t="shared" si="3"/>
        <v>1.4624248414443706</v>
      </c>
      <c r="AD34" s="325">
        <f t="shared" si="3"/>
        <v>0.79845743671908664</v>
      </c>
      <c r="AE34" s="325">
        <f t="shared" si="3"/>
        <v>0</v>
      </c>
      <c r="AF34" s="325">
        <f t="shared" si="3"/>
        <v>0.63556630465104469</v>
      </c>
      <c r="AG34" s="325">
        <f t="shared" si="3"/>
        <v>5.9057779531086291E-2</v>
      </c>
      <c r="AH34" s="325">
        <f t="shared" si="3"/>
        <v>0</v>
      </c>
      <c r="AI34" s="325">
        <f t="shared" si="3"/>
        <v>2.9555063623455879</v>
      </c>
      <c r="AJ34" s="447">
        <f t="shared" si="4"/>
        <v>1.9059509058335393</v>
      </c>
      <c r="AK34" s="447">
        <f t="shared" si="5"/>
        <v>1.0495554565120491</v>
      </c>
    </row>
    <row r="35" spans="2:37" s="63" customFormat="1" ht="12.75" x14ac:dyDescent="0.2">
      <c r="B35" s="325">
        <f t="shared" si="1"/>
        <v>2010</v>
      </c>
      <c r="C35" s="394">
        <v>40483</v>
      </c>
      <c r="D35" s="395">
        <v>22184.544239999999</v>
      </c>
      <c r="E35" s="395">
        <v>10037.855659999999</v>
      </c>
      <c r="F35" s="395"/>
      <c r="G35" s="395">
        <v>8385.3597800000007</v>
      </c>
      <c r="H35" s="395">
        <v>794.32891099999995</v>
      </c>
      <c r="I35" s="395">
        <v>0</v>
      </c>
      <c r="J35" s="395">
        <v>41402.088591</v>
      </c>
      <c r="K35" s="395">
        <v>9239.4156070000008</v>
      </c>
      <c r="L35" s="395">
        <v>7011.0719980000003</v>
      </c>
      <c r="M35" s="395"/>
      <c r="N35" s="395">
        <v>6069.9894459999996</v>
      </c>
      <c r="O35" s="395">
        <v>569.56198500000005</v>
      </c>
      <c r="P35" s="395">
        <v>0</v>
      </c>
      <c r="Q35" s="395">
        <v>22890.039035999998</v>
      </c>
      <c r="R35" s="395">
        <v>31423.959846999998</v>
      </c>
      <c r="S35" s="395">
        <v>17048.927658000001</v>
      </c>
      <c r="T35" s="395"/>
      <c r="U35" s="395">
        <v>14455.349226</v>
      </c>
      <c r="V35" s="395">
        <v>1363.8908960000001</v>
      </c>
      <c r="W35" s="396">
        <v>0</v>
      </c>
      <c r="X35" s="395">
        <v>64292.127627000002</v>
      </c>
      <c r="Y35" s="397"/>
      <c r="Z35" s="325">
        <f t="shared" si="2"/>
        <v>2010</v>
      </c>
      <c r="AA35" s="394">
        <v>40483</v>
      </c>
      <c r="AB35" s="398">
        <f>'AUX UF'!C34</f>
        <v>21421.108333333301</v>
      </c>
      <c r="AC35" s="325">
        <f t="shared" si="3"/>
        <v>1.4669623699209484</v>
      </c>
      <c r="AD35" s="325">
        <f t="shared" si="3"/>
        <v>0.79589381616964383</v>
      </c>
      <c r="AE35" s="325">
        <f t="shared" si="3"/>
        <v>0</v>
      </c>
      <c r="AF35" s="325">
        <f t="shared" si="3"/>
        <v>0.6748179879892624</v>
      </c>
      <c r="AG35" s="325">
        <f t="shared" si="3"/>
        <v>6.3670416804608332E-2</v>
      </c>
      <c r="AH35" s="325">
        <f t="shared" si="3"/>
        <v>0</v>
      </c>
      <c r="AI35" s="325">
        <f t="shared" si="3"/>
        <v>3.0013445908844631</v>
      </c>
      <c r="AJ35" s="447">
        <f t="shared" si="4"/>
        <v>1.9327706086325316</v>
      </c>
      <c r="AK35" s="447">
        <f t="shared" si="5"/>
        <v>1.0685739822519313</v>
      </c>
    </row>
    <row r="36" spans="2:37" s="63" customFormat="1" ht="12.75" x14ac:dyDescent="0.2">
      <c r="B36" s="325">
        <f t="shared" si="1"/>
        <v>2010</v>
      </c>
      <c r="C36" s="394">
        <v>40513</v>
      </c>
      <c r="D36" s="395">
        <v>22260.577636999999</v>
      </c>
      <c r="E36" s="395">
        <v>9984.0556959999994</v>
      </c>
      <c r="F36" s="395"/>
      <c r="G36" s="395">
        <v>8301.2893170000007</v>
      </c>
      <c r="H36" s="395">
        <v>820.45559800000001</v>
      </c>
      <c r="I36" s="395">
        <v>0</v>
      </c>
      <c r="J36" s="395">
        <v>41366.378248000001</v>
      </c>
      <c r="K36" s="395">
        <v>9212.0185459999993</v>
      </c>
      <c r="L36" s="395">
        <v>6995.5737849999996</v>
      </c>
      <c r="M36" s="395"/>
      <c r="N36" s="395">
        <v>6018.3382689999999</v>
      </c>
      <c r="O36" s="395">
        <v>589.40651000000003</v>
      </c>
      <c r="P36" s="395">
        <v>0</v>
      </c>
      <c r="Q36" s="395">
        <v>22815.33711</v>
      </c>
      <c r="R36" s="395">
        <v>31472.596183000001</v>
      </c>
      <c r="S36" s="395">
        <v>16979.629481</v>
      </c>
      <c r="T36" s="395"/>
      <c r="U36" s="395">
        <v>14319.627586000001</v>
      </c>
      <c r="V36" s="395">
        <v>1409.862108</v>
      </c>
      <c r="W36" s="396">
        <v>0</v>
      </c>
      <c r="X36" s="395">
        <v>64181.715358000001</v>
      </c>
      <c r="Y36" s="397"/>
      <c r="Z36" s="325">
        <f t="shared" si="2"/>
        <v>2010</v>
      </c>
      <c r="AA36" s="394">
        <v>40513</v>
      </c>
      <c r="AB36" s="398">
        <f>'AUX UF'!C35</f>
        <v>21445.153225806502</v>
      </c>
      <c r="AC36" s="325">
        <f t="shared" si="3"/>
        <v>1.4675855122884716</v>
      </c>
      <c r="AD36" s="325">
        <f t="shared" si="3"/>
        <v>0.79177002384702877</v>
      </c>
      <c r="AE36" s="325">
        <f t="shared" si="3"/>
        <v>0</v>
      </c>
      <c r="AF36" s="325">
        <f t="shared" si="3"/>
        <v>0.66773258438499561</v>
      </c>
      <c r="AG36" s="325">
        <f t="shared" si="3"/>
        <v>6.5742692213707807E-2</v>
      </c>
      <c r="AH36" s="325">
        <f t="shared" si="3"/>
        <v>0</v>
      </c>
      <c r="AI36" s="325">
        <f t="shared" si="3"/>
        <v>2.9928308127342036</v>
      </c>
      <c r="AJ36" s="447">
        <f t="shared" si="4"/>
        <v>1.9289383392337272</v>
      </c>
      <c r="AK36" s="447">
        <f t="shared" si="5"/>
        <v>1.0638924735004764</v>
      </c>
    </row>
    <row r="37" spans="2:37" s="63" customFormat="1" ht="12.75" x14ac:dyDescent="0.2">
      <c r="B37" s="325">
        <f t="shared" si="1"/>
        <v>2011</v>
      </c>
      <c r="C37" s="394">
        <v>40544</v>
      </c>
      <c r="D37" s="395">
        <v>22546.888666999999</v>
      </c>
      <c r="E37" s="395">
        <v>9890.3098379999992</v>
      </c>
      <c r="F37" s="395"/>
      <c r="G37" s="395">
        <v>8129.5038379999996</v>
      </c>
      <c r="H37" s="395">
        <v>943.53672200000005</v>
      </c>
      <c r="I37" s="395">
        <v>0</v>
      </c>
      <c r="J37" s="395">
        <v>41510.239065000002</v>
      </c>
      <c r="K37" s="395">
        <v>9315.1487500000003</v>
      </c>
      <c r="L37" s="395">
        <v>6937.5819840000004</v>
      </c>
      <c r="M37" s="395"/>
      <c r="N37" s="395">
        <v>6162.8382030000002</v>
      </c>
      <c r="O37" s="395">
        <v>676.92969500000004</v>
      </c>
      <c r="P37" s="395">
        <v>0</v>
      </c>
      <c r="Q37" s="395">
        <v>23092.498631999999</v>
      </c>
      <c r="R37" s="395">
        <v>31862.037417</v>
      </c>
      <c r="S37" s="395">
        <v>16827.891822000001</v>
      </c>
      <c r="T37" s="395"/>
      <c r="U37" s="395">
        <v>14292.342041</v>
      </c>
      <c r="V37" s="395">
        <v>1620.4664170000001</v>
      </c>
      <c r="W37" s="396">
        <v>0</v>
      </c>
      <c r="X37" s="395">
        <v>64602.737696999997</v>
      </c>
      <c r="Y37" s="397"/>
      <c r="Z37" s="325">
        <f t="shared" si="2"/>
        <v>2011</v>
      </c>
      <c r="AA37" s="394">
        <v>40544</v>
      </c>
      <c r="AB37" s="398">
        <f>'AUX UF'!C36</f>
        <v>21466.625483871001</v>
      </c>
      <c r="AC37" s="325">
        <f t="shared" si="3"/>
        <v>1.4842592488949702</v>
      </c>
      <c r="AD37" s="325">
        <f t="shared" si="3"/>
        <v>0.78390950802415016</v>
      </c>
      <c r="AE37" s="325">
        <f t="shared" si="3"/>
        <v>0</v>
      </c>
      <c r="AF37" s="325">
        <f t="shared" si="3"/>
        <v>0.66579360839637247</v>
      </c>
      <c r="AG37" s="325">
        <f t="shared" si="3"/>
        <v>7.5487710828958249E-2</v>
      </c>
      <c r="AH37" s="325">
        <f t="shared" si="3"/>
        <v>0</v>
      </c>
      <c r="AI37" s="325">
        <f t="shared" si="3"/>
        <v>3.0094500761444509</v>
      </c>
      <c r="AJ37" s="447">
        <f t="shared" si="4"/>
        <v>1.9337104984753573</v>
      </c>
      <c r="AK37" s="447">
        <f t="shared" si="5"/>
        <v>1.0757395776690939</v>
      </c>
    </row>
    <row r="38" spans="2:37" s="63" customFormat="1" ht="12.75" x14ac:dyDescent="0.2">
      <c r="B38" s="325">
        <f t="shared" si="1"/>
        <v>2011</v>
      </c>
      <c r="C38" s="394">
        <v>40575</v>
      </c>
      <c r="D38" s="395">
        <v>22112.373598999999</v>
      </c>
      <c r="E38" s="395">
        <v>9830.5038530000002</v>
      </c>
      <c r="F38" s="395"/>
      <c r="G38" s="395">
        <v>8823.0395110000009</v>
      </c>
      <c r="H38" s="395">
        <v>843.74575000000004</v>
      </c>
      <c r="I38" s="395">
        <v>0</v>
      </c>
      <c r="J38" s="395">
        <v>41609.662712999998</v>
      </c>
      <c r="K38" s="395">
        <v>9167.8442919999998</v>
      </c>
      <c r="L38" s="395">
        <v>6911.5952070000003</v>
      </c>
      <c r="M38" s="395"/>
      <c r="N38" s="395">
        <v>6288.1693230000001</v>
      </c>
      <c r="O38" s="395">
        <v>595.69617600000004</v>
      </c>
      <c r="P38" s="395">
        <v>0</v>
      </c>
      <c r="Q38" s="395">
        <v>22963.304998</v>
      </c>
      <c r="R38" s="395">
        <v>31280.217891</v>
      </c>
      <c r="S38" s="395">
        <v>16742.09906</v>
      </c>
      <c r="T38" s="395"/>
      <c r="U38" s="395">
        <v>15111.208833999999</v>
      </c>
      <c r="V38" s="395">
        <v>1439.441926</v>
      </c>
      <c r="W38" s="396">
        <v>0</v>
      </c>
      <c r="X38" s="395">
        <v>64572.967710999998</v>
      </c>
      <c r="Y38" s="397"/>
      <c r="Z38" s="325">
        <f t="shared" si="2"/>
        <v>2011</v>
      </c>
      <c r="AA38" s="394">
        <v>40575</v>
      </c>
      <c r="AB38" s="398">
        <f>'AUX UF'!C37</f>
        <v>21497.9564285714</v>
      </c>
      <c r="AC38" s="325">
        <f t="shared" si="3"/>
        <v>1.455032155960075</v>
      </c>
      <c r="AD38" s="325">
        <f t="shared" si="3"/>
        <v>0.77877630441883638</v>
      </c>
      <c r="AE38" s="325">
        <f t="shared" si="3"/>
        <v>0</v>
      </c>
      <c r="AF38" s="325">
        <f t="shared" si="3"/>
        <v>0.70291373434531523</v>
      </c>
      <c r="AG38" s="325">
        <f t="shared" si="3"/>
        <v>6.6957151521943745E-2</v>
      </c>
      <c r="AH38" s="325">
        <f t="shared" si="3"/>
        <v>0</v>
      </c>
      <c r="AI38" s="325">
        <f t="shared" si="3"/>
        <v>3.0036793462461704</v>
      </c>
      <c r="AJ38" s="447">
        <f t="shared" si="4"/>
        <v>1.9355171200226067</v>
      </c>
      <c r="AK38" s="447">
        <f t="shared" si="5"/>
        <v>1.0681622262235637</v>
      </c>
    </row>
    <row r="39" spans="2:37" s="63" customFormat="1" ht="12.75" x14ac:dyDescent="0.2">
      <c r="B39" s="325">
        <f t="shared" si="1"/>
        <v>2011</v>
      </c>
      <c r="C39" s="394">
        <v>40603</v>
      </c>
      <c r="D39" s="395">
        <v>22286.086187000001</v>
      </c>
      <c r="E39" s="395">
        <v>9940.294253</v>
      </c>
      <c r="F39" s="395"/>
      <c r="G39" s="395">
        <v>8191.7163389999996</v>
      </c>
      <c r="H39" s="395">
        <v>988.42032300000005</v>
      </c>
      <c r="I39" s="395">
        <v>0</v>
      </c>
      <c r="J39" s="395">
        <v>41406.517101999998</v>
      </c>
      <c r="K39" s="395">
        <v>9222.2802319999992</v>
      </c>
      <c r="L39" s="395">
        <v>6963.8378249999996</v>
      </c>
      <c r="M39" s="395"/>
      <c r="N39" s="395">
        <v>6041.6297690000001</v>
      </c>
      <c r="O39" s="395">
        <v>697.48518300000001</v>
      </c>
      <c r="P39" s="395">
        <v>0</v>
      </c>
      <c r="Q39" s="395">
        <v>22925.233009</v>
      </c>
      <c r="R39" s="395">
        <v>31508.366419000002</v>
      </c>
      <c r="S39" s="395">
        <v>16904.132077999999</v>
      </c>
      <c r="T39" s="395"/>
      <c r="U39" s="395">
        <v>14233.346108</v>
      </c>
      <c r="V39" s="395">
        <v>1685.9055060000001</v>
      </c>
      <c r="W39" s="396">
        <v>0</v>
      </c>
      <c r="X39" s="395">
        <v>64331.750111000001</v>
      </c>
      <c r="Y39" s="397"/>
      <c r="Z39" s="325">
        <f t="shared" si="2"/>
        <v>2011</v>
      </c>
      <c r="AA39" s="394">
        <v>40603</v>
      </c>
      <c r="AB39" s="398">
        <f>'AUX UF'!C38</f>
        <v>21556.352580645202</v>
      </c>
      <c r="AC39" s="325">
        <f t="shared" si="3"/>
        <v>1.4616742930476287</v>
      </c>
      <c r="AD39" s="325">
        <f t="shared" si="3"/>
        <v>0.78418331741232083</v>
      </c>
      <c r="AE39" s="325">
        <f t="shared" si="3"/>
        <v>0</v>
      </c>
      <c r="AF39" s="325">
        <f t="shared" si="3"/>
        <v>0.66028545667691907</v>
      </c>
      <c r="AG39" s="325">
        <f t="shared" si="3"/>
        <v>7.8209219286648882E-2</v>
      </c>
      <c r="AH39" s="325">
        <f t="shared" si="3"/>
        <v>0</v>
      </c>
      <c r="AI39" s="325">
        <f t="shared" si="3"/>
        <v>2.9843522864235177</v>
      </c>
      <c r="AJ39" s="447">
        <f t="shared" si="4"/>
        <v>1.9208498723099223</v>
      </c>
      <c r="AK39" s="447">
        <f t="shared" si="5"/>
        <v>1.0635024141135951</v>
      </c>
    </row>
    <row r="40" spans="2:37" s="63" customFormat="1" ht="12.75" x14ac:dyDescent="0.2">
      <c r="B40" s="325">
        <f t="shared" si="1"/>
        <v>2011</v>
      </c>
      <c r="C40" s="394">
        <v>40634</v>
      </c>
      <c r="D40" s="395">
        <v>21612.411466000001</v>
      </c>
      <c r="E40" s="395">
        <v>9961.83446</v>
      </c>
      <c r="F40" s="395"/>
      <c r="G40" s="395">
        <v>7768.1213120000002</v>
      </c>
      <c r="H40" s="395">
        <v>844.45233399999995</v>
      </c>
      <c r="I40" s="395">
        <v>0</v>
      </c>
      <c r="J40" s="395">
        <v>40186.819572</v>
      </c>
      <c r="K40" s="395">
        <v>8960.5105949999997</v>
      </c>
      <c r="L40" s="395">
        <v>6950.8771029999998</v>
      </c>
      <c r="M40" s="395"/>
      <c r="N40" s="395">
        <v>5763.5561230000003</v>
      </c>
      <c r="O40" s="395">
        <v>601.58354899999995</v>
      </c>
      <c r="P40" s="395">
        <v>0</v>
      </c>
      <c r="Q40" s="395">
        <v>22276.52737</v>
      </c>
      <c r="R40" s="395">
        <v>30572.922061000001</v>
      </c>
      <c r="S40" s="395">
        <v>16912.711563000001</v>
      </c>
      <c r="T40" s="395"/>
      <c r="U40" s="395">
        <v>13531.677435</v>
      </c>
      <c r="V40" s="395">
        <v>1446.035883</v>
      </c>
      <c r="W40" s="396">
        <v>0</v>
      </c>
      <c r="X40" s="395">
        <v>62463.346941999996</v>
      </c>
      <c r="Y40" s="397"/>
      <c r="Z40" s="325">
        <f t="shared" si="2"/>
        <v>2011</v>
      </c>
      <c r="AA40" s="394">
        <v>40634</v>
      </c>
      <c r="AB40" s="398">
        <f>'AUX UF'!C39</f>
        <v>21633.360000000001</v>
      </c>
      <c r="AC40" s="325">
        <f t="shared" si="3"/>
        <v>1.4132304025357134</v>
      </c>
      <c r="AD40" s="325">
        <f t="shared" si="3"/>
        <v>0.78178847682468189</v>
      </c>
      <c r="AE40" s="325">
        <f t="shared" si="3"/>
        <v>0</v>
      </c>
      <c r="AF40" s="325">
        <f t="shared" si="3"/>
        <v>0.62550049714884781</v>
      </c>
      <c r="AG40" s="325">
        <f t="shared" si="3"/>
        <v>6.6842870594304354E-2</v>
      </c>
      <c r="AH40" s="325">
        <f t="shared" si="3"/>
        <v>0</v>
      </c>
      <c r="AI40" s="325">
        <f t="shared" si="3"/>
        <v>2.8873622471035474</v>
      </c>
      <c r="AJ40" s="447">
        <f t="shared" si="4"/>
        <v>1.8576318968482011</v>
      </c>
      <c r="AK40" s="447">
        <f t="shared" si="5"/>
        <v>1.0297303502553463</v>
      </c>
    </row>
    <row r="41" spans="2:37" s="63" customFormat="1" ht="12.75" x14ac:dyDescent="0.2">
      <c r="B41" s="325">
        <f t="shared" si="1"/>
        <v>2011</v>
      </c>
      <c r="C41" s="394">
        <v>40664</v>
      </c>
      <c r="D41" s="395">
        <v>22569.105210999998</v>
      </c>
      <c r="E41" s="395">
        <v>9853.8695420000004</v>
      </c>
      <c r="F41" s="395"/>
      <c r="G41" s="395">
        <v>8385.7735599999996</v>
      </c>
      <c r="H41" s="395">
        <v>1136.068074</v>
      </c>
      <c r="I41" s="395">
        <v>0</v>
      </c>
      <c r="J41" s="395">
        <v>41944.816386999999</v>
      </c>
      <c r="K41" s="395">
        <v>9375.7054100000005</v>
      </c>
      <c r="L41" s="395">
        <v>6913.4236209999999</v>
      </c>
      <c r="M41" s="395"/>
      <c r="N41" s="395">
        <v>6442.5706339999997</v>
      </c>
      <c r="O41" s="395">
        <v>834.32198300000005</v>
      </c>
      <c r="P41" s="395">
        <v>0</v>
      </c>
      <c r="Q41" s="395">
        <v>23566.021648000002</v>
      </c>
      <c r="R41" s="395">
        <v>31944.810621000001</v>
      </c>
      <c r="S41" s="395">
        <v>16767.293162999998</v>
      </c>
      <c r="T41" s="395"/>
      <c r="U41" s="395">
        <v>14828.344193999999</v>
      </c>
      <c r="V41" s="395">
        <v>1970.3900570000001</v>
      </c>
      <c r="W41" s="396">
        <v>0</v>
      </c>
      <c r="X41" s="395">
        <v>65510.838035000001</v>
      </c>
      <c r="Y41" s="397"/>
      <c r="Z41" s="325">
        <f t="shared" si="2"/>
        <v>2011</v>
      </c>
      <c r="AA41" s="394">
        <v>40664</v>
      </c>
      <c r="AB41" s="398">
        <f>'AUX UF'!C40</f>
        <v>21773.987419354798</v>
      </c>
      <c r="AC41" s="325">
        <f t="shared" si="3"/>
        <v>1.4671088949286526</v>
      </c>
      <c r="AD41" s="325">
        <f t="shared" si="3"/>
        <v>0.77006075369069182</v>
      </c>
      <c r="AE41" s="325">
        <f t="shared" si="3"/>
        <v>0</v>
      </c>
      <c r="AF41" s="325">
        <f t="shared" si="3"/>
        <v>0.68101188397028056</v>
      </c>
      <c r="AG41" s="325">
        <f t="shared" si="3"/>
        <v>9.0492844468557432E-2</v>
      </c>
      <c r="AH41" s="325">
        <f t="shared" si="3"/>
        <v>0</v>
      </c>
      <c r="AI41" s="325">
        <f t="shared" si="3"/>
        <v>3.0086743770581825</v>
      </c>
      <c r="AJ41" s="447">
        <f t="shared" si="4"/>
        <v>1.9263727666947874</v>
      </c>
      <c r="AK41" s="447">
        <f t="shared" si="5"/>
        <v>1.0823016103633949</v>
      </c>
    </row>
    <row r="42" spans="2:37" s="63" customFormat="1" ht="12.75" x14ac:dyDescent="0.2">
      <c r="B42" s="325">
        <f t="shared" si="1"/>
        <v>2011</v>
      </c>
      <c r="C42" s="394">
        <v>40695</v>
      </c>
      <c r="D42" s="395">
        <v>22179.625998</v>
      </c>
      <c r="E42" s="395">
        <v>9908.5373080000008</v>
      </c>
      <c r="F42" s="395"/>
      <c r="G42" s="395">
        <v>9001.9484850000008</v>
      </c>
      <c r="H42" s="395">
        <v>1085.2373729999999</v>
      </c>
      <c r="I42" s="395">
        <v>0</v>
      </c>
      <c r="J42" s="395">
        <v>42175.349163999999</v>
      </c>
      <c r="K42" s="395">
        <v>9174.6539350000003</v>
      </c>
      <c r="L42" s="395">
        <v>6923.0470260000002</v>
      </c>
      <c r="M42" s="395"/>
      <c r="N42" s="395">
        <v>6439.6777599999996</v>
      </c>
      <c r="O42" s="395">
        <v>766.367074</v>
      </c>
      <c r="P42" s="395">
        <v>0</v>
      </c>
      <c r="Q42" s="395">
        <v>23303.745794999999</v>
      </c>
      <c r="R42" s="395">
        <v>31354.279933000002</v>
      </c>
      <c r="S42" s="395">
        <v>16831.584333999999</v>
      </c>
      <c r="T42" s="395"/>
      <c r="U42" s="395">
        <v>15441.626244999999</v>
      </c>
      <c r="V42" s="395">
        <v>1851.6044469999999</v>
      </c>
      <c r="W42" s="396">
        <v>0</v>
      </c>
      <c r="X42" s="395">
        <v>65479.094959000002</v>
      </c>
      <c r="Y42" s="397"/>
      <c r="Z42" s="325">
        <f t="shared" si="2"/>
        <v>2011</v>
      </c>
      <c r="AA42" s="394">
        <v>40695</v>
      </c>
      <c r="AB42" s="398">
        <f>'AUX UF'!C41</f>
        <v>21848.666666666701</v>
      </c>
      <c r="AC42" s="325">
        <f t="shared" si="3"/>
        <v>1.4350660574100611</v>
      </c>
      <c r="AD42" s="325">
        <f t="shared" si="3"/>
        <v>0.77037123549873243</v>
      </c>
      <c r="AE42" s="325">
        <f t="shared" si="3"/>
        <v>0</v>
      </c>
      <c r="AF42" s="325">
        <f t="shared" si="3"/>
        <v>0.70675371090531725</v>
      </c>
      <c r="AG42" s="325">
        <f t="shared" si="3"/>
        <v>8.4746793717389177E-2</v>
      </c>
      <c r="AH42" s="325">
        <f t="shared" si="3"/>
        <v>0</v>
      </c>
      <c r="AI42" s="325">
        <f t="shared" si="3"/>
        <v>2.9969377975314999</v>
      </c>
      <c r="AJ42" s="447">
        <f t="shared" si="4"/>
        <v>1.9303397231257406</v>
      </c>
      <c r="AK42" s="447">
        <f t="shared" si="5"/>
        <v>1.066598074405759</v>
      </c>
    </row>
    <row r="43" spans="2:37" s="63" customFormat="1" ht="12.75" x14ac:dyDescent="0.2">
      <c r="B43" s="325">
        <f t="shared" si="1"/>
        <v>2011</v>
      </c>
      <c r="C43" s="394">
        <v>40725</v>
      </c>
      <c r="D43" s="395">
        <v>22823.692652999998</v>
      </c>
      <c r="E43" s="395">
        <v>10088.190157000001</v>
      </c>
      <c r="F43" s="395"/>
      <c r="G43" s="395">
        <v>11131.936645</v>
      </c>
      <c r="H43" s="395">
        <v>1081.480996</v>
      </c>
      <c r="I43" s="395">
        <v>0</v>
      </c>
      <c r="J43" s="395">
        <v>45125.300451000003</v>
      </c>
      <c r="K43" s="395">
        <v>9456.6914149999993</v>
      </c>
      <c r="L43" s="395">
        <v>7085.6348180000005</v>
      </c>
      <c r="M43" s="395"/>
      <c r="N43" s="395">
        <v>8074.6918729999998</v>
      </c>
      <c r="O43" s="395">
        <v>785.91632600000003</v>
      </c>
      <c r="P43" s="395">
        <v>0</v>
      </c>
      <c r="Q43" s="395">
        <v>25402.934431999998</v>
      </c>
      <c r="R43" s="395">
        <v>32280.384067999999</v>
      </c>
      <c r="S43" s="395">
        <v>17173.824975</v>
      </c>
      <c r="T43" s="395"/>
      <c r="U43" s="395">
        <v>19206.628518000001</v>
      </c>
      <c r="V43" s="395">
        <v>1867.397322</v>
      </c>
      <c r="W43" s="396">
        <v>0</v>
      </c>
      <c r="X43" s="395">
        <v>70528.234882999997</v>
      </c>
      <c r="Y43" s="397"/>
      <c r="Z43" s="325">
        <f t="shared" si="2"/>
        <v>2011</v>
      </c>
      <c r="AA43" s="394">
        <v>40725</v>
      </c>
      <c r="AB43" s="398">
        <f>'AUX UF'!C42</f>
        <v>21924.2767741936</v>
      </c>
      <c r="AC43" s="325">
        <f t="shared" si="3"/>
        <v>1.4723579892950567</v>
      </c>
      <c r="AD43" s="325">
        <f t="shared" si="3"/>
        <v>0.78332458360563972</v>
      </c>
      <c r="AE43" s="325">
        <f t="shared" si="3"/>
        <v>0</v>
      </c>
      <c r="AF43" s="325">
        <f t="shared" si="3"/>
        <v>0.87604388121060117</v>
      </c>
      <c r="AG43" s="325">
        <f t="shared" si="3"/>
        <v>8.5174865343702319E-2</v>
      </c>
      <c r="AH43" s="325">
        <f t="shared" si="3"/>
        <v>0</v>
      </c>
      <c r="AI43" s="325">
        <f t="shared" si="3"/>
        <v>3.2169013194549998</v>
      </c>
      <c r="AJ43" s="447">
        <f t="shared" si="4"/>
        <v>2.0582343908427401</v>
      </c>
      <c r="AK43" s="447">
        <f t="shared" si="5"/>
        <v>1.1586669286122597</v>
      </c>
    </row>
    <row r="44" spans="2:37" s="63" customFormat="1" ht="12.75" x14ac:dyDescent="0.2">
      <c r="B44" s="325">
        <f t="shared" si="1"/>
        <v>2011</v>
      </c>
      <c r="C44" s="394">
        <v>40756</v>
      </c>
      <c r="D44" s="395">
        <v>22868.475003</v>
      </c>
      <c r="E44" s="395">
        <v>10120.989298</v>
      </c>
      <c r="F44" s="395"/>
      <c r="G44" s="395">
        <v>11666.210709000001</v>
      </c>
      <c r="H44" s="395">
        <v>1121.9890170000001</v>
      </c>
      <c r="I44" s="395">
        <v>0</v>
      </c>
      <c r="J44" s="395">
        <v>45777.664026999999</v>
      </c>
      <c r="K44" s="395">
        <v>9466.3938369999996</v>
      </c>
      <c r="L44" s="395">
        <v>7138.0332209999997</v>
      </c>
      <c r="M44" s="395"/>
      <c r="N44" s="395">
        <v>8420.9569339999998</v>
      </c>
      <c r="O44" s="395">
        <v>819.80300299999999</v>
      </c>
      <c r="P44" s="395">
        <v>0</v>
      </c>
      <c r="Q44" s="395">
        <v>25845.186995</v>
      </c>
      <c r="R44" s="395">
        <v>32334.868839999999</v>
      </c>
      <c r="S44" s="395">
        <v>17259.022518999998</v>
      </c>
      <c r="T44" s="395"/>
      <c r="U44" s="395">
        <v>20087.167643000001</v>
      </c>
      <c r="V44" s="395">
        <v>1941.7920200000001</v>
      </c>
      <c r="W44" s="396">
        <v>0</v>
      </c>
      <c r="X44" s="395">
        <v>71622.851022000003</v>
      </c>
      <c r="Y44" s="397"/>
      <c r="Z44" s="325">
        <f t="shared" si="2"/>
        <v>2011</v>
      </c>
      <c r="AA44" s="394">
        <v>40756</v>
      </c>
      <c r="AB44" s="398">
        <f>'AUX UF'!C43</f>
        <v>21964.0970967742</v>
      </c>
      <c r="AC44" s="325">
        <f t="shared" si="3"/>
        <v>1.4721692723143591</v>
      </c>
      <c r="AD44" s="325">
        <f t="shared" si="3"/>
        <v>0.78578338289784644</v>
      </c>
      <c r="AE44" s="325">
        <f t="shared" si="3"/>
        <v>0</v>
      </c>
      <c r="AF44" s="325">
        <f t="shared" ref="AF44:AI107" si="6">+U44/$AB44</f>
        <v>0.91454556745472326</v>
      </c>
      <c r="AG44" s="325">
        <f t="shared" si="6"/>
        <v>8.8407550351122119E-2</v>
      </c>
      <c r="AH44" s="325">
        <f t="shared" si="6"/>
        <v>0</v>
      </c>
      <c r="AI44" s="325">
        <f t="shared" si="6"/>
        <v>3.2609057730180511</v>
      </c>
      <c r="AJ44" s="447">
        <f t="shared" si="4"/>
        <v>2.0842042277131996</v>
      </c>
      <c r="AK44" s="447">
        <f t="shared" si="5"/>
        <v>1.1767015453048513</v>
      </c>
    </row>
    <row r="45" spans="2:37" s="63" customFormat="1" ht="12.75" x14ac:dyDescent="0.2">
      <c r="B45" s="325">
        <f t="shared" si="1"/>
        <v>2011</v>
      </c>
      <c r="C45" s="394">
        <v>40787</v>
      </c>
      <c r="D45" s="395">
        <v>22910.999168999999</v>
      </c>
      <c r="E45" s="395">
        <v>10315.712587</v>
      </c>
      <c r="F45" s="395"/>
      <c r="G45" s="395">
        <v>10801.076693999999</v>
      </c>
      <c r="H45" s="395">
        <v>1030.5726400000001</v>
      </c>
      <c r="I45" s="395">
        <v>0</v>
      </c>
      <c r="J45" s="395">
        <v>45058.361089999999</v>
      </c>
      <c r="K45" s="395">
        <v>9446.9946400000008</v>
      </c>
      <c r="L45" s="395">
        <v>7269.2044059999998</v>
      </c>
      <c r="M45" s="395"/>
      <c r="N45" s="395">
        <v>7874.3706769999999</v>
      </c>
      <c r="O45" s="395">
        <v>736.38764100000003</v>
      </c>
      <c r="P45" s="395">
        <v>0</v>
      </c>
      <c r="Q45" s="395">
        <v>25326.957364000002</v>
      </c>
      <c r="R45" s="395">
        <v>32357.993809</v>
      </c>
      <c r="S45" s="395">
        <v>17584.916992999999</v>
      </c>
      <c r="T45" s="395"/>
      <c r="U45" s="395">
        <v>18675.447370999998</v>
      </c>
      <c r="V45" s="395">
        <v>1766.9602809999999</v>
      </c>
      <c r="W45" s="396">
        <v>0</v>
      </c>
      <c r="X45" s="395">
        <v>70385.318453999993</v>
      </c>
      <c r="Y45" s="397"/>
      <c r="Z45" s="325">
        <f t="shared" si="2"/>
        <v>2011</v>
      </c>
      <c r="AA45" s="394">
        <v>40787</v>
      </c>
      <c r="AB45" s="398">
        <f>'AUX UF'!C44</f>
        <v>21992.348000000002</v>
      </c>
      <c r="AC45" s="325">
        <f t="shared" ref="AC45:AH108" si="7">+R45/$AB45</f>
        <v>1.4713296556147619</v>
      </c>
      <c r="AD45" s="325">
        <f t="shared" si="7"/>
        <v>0.79959252158978189</v>
      </c>
      <c r="AE45" s="325">
        <f t="shared" si="7"/>
        <v>0</v>
      </c>
      <c r="AF45" s="325">
        <f t="shared" si="6"/>
        <v>0.84917933142018287</v>
      </c>
      <c r="AG45" s="325">
        <f t="shared" si="6"/>
        <v>8.0344321624957901E-2</v>
      </c>
      <c r="AH45" s="325">
        <f t="shared" si="6"/>
        <v>0</v>
      </c>
      <c r="AI45" s="325">
        <f t="shared" si="6"/>
        <v>3.2004458302496843</v>
      </c>
      <c r="AJ45" s="447">
        <f t="shared" si="4"/>
        <v>2.0488199390988173</v>
      </c>
      <c r="AK45" s="447">
        <f t="shared" si="5"/>
        <v>1.1516258911508674</v>
      </c>
    </row>
    <row r="46" spans="2:37" s="63" customFormat="1" ht="12.75" x14ac:dyDescent="0.2">
      <c r="B46" s="325">
        <f t="shared" si="1"/>
        <v>2011</v>
      </c>
      <c r="C46" s="394">
        <v>40817</v>
      </c>
      <c r="D46" s="395">
        <v>22677.749441</v>
      </c>
      <c r="E46" s="395">
        <v>10138.595025000001</v>
      </c>
      <c r="F46" s="395"/>
      <c r="G46" s="395">
        <v>12331.326424999999</v>
      </c>
      <c r="H46" s="395">
        <v>1284.2727130000001</v>
      </c>
      <c r="I46" s="395">
        <v>0</v>
      </c>
      <c r="J46" s="395">
        <v>46431.943604</v>
      </c>
      <c r="K46" s="395">
        <v>9325.0079310000001</v>
      </c>
      <c r="L46" s="395">
        <v>7166.8675039999998</v>
      </c>
      <c r="M46" s="395"/>
      <c r="N46" s="395">
        <v>9310.3246170000002</v>
      </c>
      <c r="O46" s="395">
        <v>932.63313900000003</v>
      </c>
      <c r="P46" s="395">
        <v>0</v>
      </c>
      <c r="Q46" s="395">
        <v>26734.833191000002</v>
      </c>
      <c r="R46" s="395">
        <v>32002.757372</v>
      </c>
      <c r="S46" s="395">
        <v>17305.462529</v>
      </c>
      <c r="T46" s="395"/>
      <c r="U46" s="395">
        <v>21641.651042000001</v>
      </c>
      <c r="V46" s="395">
        <v>2216.9058519999999</v>
      </c>
      <c r="W46" s="396">
        <v>0</v>
      </c>
      <c r="X46" s="395">
        <v>73166.776794999998</v>
      </c>
      <c r="Y46" s="397"/>
      <c r="Z46" s="325">
        <f t="shared" si="2"/>
        <v>2011</v>
      </c>
      <c r="AA46" s="394">
        <v>40817</v>
      </c>
      <c r="AB46" s="398">
        <f>'AUX UF'!C45</f>
        <v>22053.134516129001</v>
      </c>
      <c r="AC46" s="325">
        <f t="shared" si="7"/>
        <v>1.4511659260317005</v>
      </c>
      <c r="AD46" s="325">
        <f t="shared" si="7"/>
        <v>0.7847166812655727</v>
      </c>
      <c r="AE46" s="325">
        <f t="shared" si="7"/>
        <v>0</v>
      </c>
      <c r="AF46" s="325">
        <f t="shared" si="6"/>
        <v>0.98134127038367025</v>
      </c>
      <c r="AG46" s="325">
        <f t="shared" si="6"/>
        <v>0.100525657719025</v>
      </c>
      <c r="AH46" s="325">
        <f t="shared" si="6"/>
        <v>0</v>
      </c>
      <c r="AI46" s="325">
        <f t="shared" si="6"/>
        <v>3.3177495353999684</v>
      </c>
      <c r="AJ46" s="447">
        <f t="shared" si="4"/>
        <v>2.105457778350786</v>
      </c>
      <c r="AK46" s="447">
        <f t="shared" si="5"/>
        <v>1.2122917570491827</v>
      </c>
    </row>
    <row r="47" spans="2:37" s="63" customFormat="1" ht="12.75" x14ac:dyDescent="0.2">
      <c r="B47" s="325">
        <f t="shared" si="1"/>
        <v>2011</v>
      </c>
      <c r="C47" s="394">
        <v>40848</v>
      </c>
      <c r="D47" s="395">
        <v>22309.455910000001</v>
      </c>
      <c r="E47" s="395">
        <v>10046.524068000001</v>
      </c>
      <c r="F47" s="395"/>
      <c r="G47" s="395">
        <v>11477.395828000001</v>
      </c>
      <c r="H47" s="395">
        <v>1091.5604980000001</v>
      </c>
      <c r="I47" s="395">
        <v>0</v>
      </c>
      <c r="J47" s="395">
        <v>44924.936304000003</v>
      </c>
      <c r="K47" s="395">
        <v>9186.2493209999993</v>
      </c>
      <c r="L47" s="395">
        <v>7092.7459609999996</v>
      </c>
      <c r="M47" s="395"/>
      <c r="N47" s="395">
        <v>8523.7935219999999</v>
      </c>
      <c r="O47" s="395">
        <v>780.00595799999996</v>
      </c>
      <c r="P47" s="395">
        <v>0</v>
      </c>
      <c r="Q47" s="395">
        <v>25582.794762000001</v>
      </c>
      <c r="R47" s="395">
        <v>31495.705231</v>
      </c>
      <c r="S47" s="395">
        <v>17139.270028999999</v>
      </c>
      <c r="T47" s="395"/>
      <c r="U47" s="395">
        <v>20001.189350000001</v>
      </c>
      <c r="V47" s="395">
        <v>1871.566456</v>
      </c>
      <c r="W47" s="396">
        <v>0</v>
      </c>
      <c r="X47" s="395">
        <v>70507.731065999993</v>
      </c>
      <c r="Y47" s="397"/>
      <c r="Z47" s="325">
        <f t="shared" si="2"/>
        <v>2011</v>
      </c>
      <c r="AA47" s="394">
        <v>40848</v>
      </c>
      <c r="AB47" s="398">
        <f>'AUX UF'!C46</f>
        <v>22160.109333333301</v>
      </c>
      <c r="AC47" s="325">
        <f t="shared" si="7"/>
        <v>1.4212793248101925</v>
      </c>
      <c r="AD47" s="325">
        <f t="shared" si="7"/>
        <v>0.7734289470864234</v>
      </c>
      <c r="AE47" s="325">
        <f t="shared" si="7"/>
        <v>0</v>
      </c>
      <c r="AF47" s="325">
        <f t="shared" si="6"/>
        <v>0.90257629369698789</v>
      </c>
      <c r="AG47" s="325">
        <f t="shared" si="6"/>
        <v>8.4456553343118412E-2</v>
      </c>
      <c r="AH47" s="325">
        <f t="shared" si="6"/>
        <v>0</v>
      </c>
      <c r="AI47" s="325">
        <f t="shared" si="6"/>
        <v>3.181741118936722</v>
      </c>
      <c r="AJ47" s="447">
        <f t="shared" si="4"/>
        <v>2.0272885674089967</v>
      </c>
      <c r="AK47" s="447">
        <f t="shared" si="5"/>
        <v>1.1544525515277257</v>
      </c>
    </row>
    <row r="48" spans="2:37" s="63" customFormat="1" ht="12.75" x14ac:dyDescent="0.2">
      <c r="B48" s="325">
        <f t="shared" si="1"/>
        <v>2011</v>
      </c>
      <c r="C48" s="394">
        <v>40878</v>
      </c>
      <c r="D48" s="395">
        <v>23540.515168000002</v>
      </c>
      <c r="E48" s="395">
        <v>10133.285365</v>
      </c>
      <c r="F48" s="395"/>
      <c r="G48" s="395">
        <v>12824.071207999999</v>
      </c>
      <c r="H48" s="395">
        <v>1327.8431929999999</v>
      </c>
      <c r="I48" s="395">
        <v>0</v>
      </c>
      <c r="J48" s="395">
        <v>47825.714934000003</v>
      </c>
      <c r="K48" s="395">
        <v>9601.3000819999997</v>
      </c>
      <c r="L48" s="395">
        <v>7159.4871119999998</v>
      </c>
      <c r="M48" s="395"/>
      <c r="N48" s="395">
        <v>9472.4677589999992</v>
      </c>
      <c r="O48" s="395">
        <v>956.10764400000005</v>
      </c>
      <c r="P48" s="395">
        <v>0</v>
      </c>
      <c r="Q48" s="395">
        <v>27189.362596999999</v>
      </c>
      <c r="R48" s="395">
        <v>33141.81525</v>
      </c>
      <c r="S48" s="395">
        <v>17292.772476999999</v>
      </c>
      <c r="T48" s="395"/>
      <c r="U48" s="395">
        <v>22296.538967</v>
      </c>
      <c r="V48" s="395">
        <v>2283.9508369999999</v>
      </c>
      <c r="W48" s="396">
        <v>0</v>
      </c>
      <c r="X48" s="395">
        <v>75015.077531000003</v>
      </c>
      <c r="Y48" s="397"/>
      <c r="Z48" s="325">
        <f t="shared" si="2"/>
        <v>2011</v>
      </c>
      <c r="AA48" s="394">
        <v>40878</v>
      </c>
      <c r="AB48" s="398">
        <f>'AUX UF'!C47</f>
        <v>22259.9538709677</v>
      </c>
      <c r="AC48" s="325">
        <f t="shared" si="7"/>
        <v>1.4888537254888405</v>
      </c>
      <c r="AD48" s="325">
        <f t="shared" si="7"/>
        <v>0.77685571934423037</v>
      </c>
      <c r="AE48" s="325">
        <f t="shared" si="7"/>
        <v>0</v>
      </c>
      <c r="AF48" s="325">
        <f t="shared" si="6"/>
        <v>1.0016435387173024</v>
      </c>
      <c r="AG48" s="325">
        <f t="shared" si="6"/>
        <v>0.10260357457338749</v>
      </c>
      <c r="AH48" s="325">
        <f t="shared" si="6"/>
        <v>0</v>
      </c>
      <c r="AI48" s="325">
        <f t="shared" si="6"/>
        <v>3.3699565581237612</v>
      </c>
      <c r="AJ48" s="447">
        <f t="shared" si="4"/>
        <v>2.1485091663364213</v>
      </c>
      <c r="AK48" s="447">
        <f t="shared" si="5"/>
        <v>1.2214473917873401</v>
      </c>
    </row>
    <row r="49" spans="2:37" s="63" customFormat="1" ht="12.75" x14ac:dyDescent="0.2">
      <c r="B49" s="325">
        <f t="shared" si="1"/>
        <v>2012</v>
      </c>
      <c r="C49" s="394">
        <v>40909</v>
      </c>
      <c r="D49" s="395">
        <v>22892.678969000001</v>
      </c>
      <c r="E49" s="395">
        <v>9971.0136309999998</v>
      </c>
      <c r="F49" s="395"/>
      <c r="G49" s="395">
        <v>11273.151109</v>
      </c>
      <c r="H49" s="395">
        <v>1134.3974929999999</v>
      </c>
      <c r="I49" s="395">
        <v>0</v>
      </c>
      <c r="J49" s="395">
        <v>45271.241201999997</v>
      </c>
      <c r="K49" s="395">
        <v>9364.4915939999992</v>
      </c>
      <c r="L49" s="395">
        <v>7064.6077869999999</v>
      </c>
      <c r="M49" s="395"/>
      <c r="N49" s="395">
        <v>8554.6724510000004</v>
      </c>
      <c r="O49" s="395">
        <v>806.44576700000005</v>
      </c>
      <c r="P49" s="395">
        <v>0</v>
      </c>
      <c r="Q49" s="395">
        <v>25790.217599</v>
      </c>
      <c r="R49" s="395">
        <v>32257.170563</v>
      </c>
      <c r="S49" s="395">
        <v>17035.621417999999</v>
      </c>
      <c r="T49" s="395"/>
      <c r="U49" s="395">
        <v>19827.823560000001</v>
      </c>
      <c r="V49" s="395">
        <v>1940.8432600000001</v>
      </c>
      <c r="W49" s="396">
        <v>0</v>
      </c>
      <c r="X49" s="395">
        <v>71061.458801000001</v>
      </c>
      <c r="Y49" s="397"/>
      <c r="Z49" s="325">
        <f t="shared" si="2"/>
        <v>2012</v>
      </c>
      <c r="AA49" s="394">
        <v>40909</v>
      </c>
      <c r="AB49" s="398">
        <f>'AUX UF'!C48</f>
        <v>22346.118709677401</v>
      </c>
      <c r="AC49" s="325">
        <f t="shared" si="7"/>
        <v>1.4435245324741981</v>
      </c>
      <c r="AD49" s="325">
        <f t="shared" si="7"/>
        <v>0.76235258745951295</v>
      </c>
      <c r="AE49" s="325">
        <f t="shared" si="7"/>
        <v>0</v>
      </c>
      <c r="AF49" s="325">
        <f t="shared" si="6"/>
        <v>0.88730503124970839</v>
      </c>
      <c r="AG49" s="325">
        <f t="shared" si="6"/>
        <v>8.685370758186664E-2</v>
      </c>
      <c r="AH49" s="325">
        <f t="shared" si="6"/>
        <v>0</v>
      </c>
      <c r="AI49" s="325">
        <f t="shared" si="6"/>
        <v>3.1800358587652862</v>
      </c>
      <c r="AJ49" s="447">
        <f t="shared" si="4"/>
        <v>2.0259107091557</v>
      </c>
      <c r="AK49" s="447">
        <f t="shared" si="5"/>
        <v>1.1541251496095861</v>
      </c>
    </row>
    <row r="50" spans="2:37" s="63" customFormat="1" ht="12.75" x14ac:dyDescent="0.2">
      <c r="B50" s="325">
        <f t="shared" si="1"/>
        <v>2012</v>
      </c>
      <c r="C50" s="394">
        <v>40940</v>
      </c>
      <c r="D50" s="395">
        <v>23043.246652999998</v>
      </c>
      <c r="E50" s="395">
        <v>9870.5292279999994</v>
      </c>
      <c r="F50" s="395"/>
      <c r="G50" s="395">
        <v>12687.628672999999</v>
      </c>
      <c r="H50" s="395">
        <v>1431.536124</v>
      </c>
      <c r="I50" s="395">
        <v>0</v>
      </c>
      <c r="J50" s="395">
        <v>47032.940677999999</v>
      </c>
      <c r="K50" s="395">
        <v>9390.5462480000006</v>
      </c>
      <c r="L50" s="395">
        <v>7012.662104</v>
      </c>
      <c r="M50" s="395"/>
      <c r="N50" s="395">
        <v>9425.8690129999995</v>
      </c>
      <c r="O50" s="395">
        <v>1037.3147690000001</v>
      </c>
      <c r="P50" s="395">
        <v>0</v>
      </c>
      <c r="Q50" s="395">
        <v>26866.392134000002</v>
      </c>
      <c r="R50" s="395">
        <v>32433.792901000001</v>
      </c>
      <c r="S50" s="395">
        <v>16883.191331999999</v>
      </c>
      <c r="T50" s="395"/>
      <c r="U50" s="395">
        <v>22113.497685999999</v>
      </c>
      <c r="V50" s="395">
        <v>2468.8508929999998</v>
      </c>
      <c r="W50" s="396">
        <v>0</v>
      </c>
      <c r="X50" s="395">
        <v>73899.332811999993</v>
      </c>
      <c r="Y50" s="397"/>
      <c r="Z50" s="325">
        <f t="shared" si="2"/>
        <v>2012</v>
      </c>
      <c r="AA50" s="394">
        <v>40940</v>
      </c>
      <c r="AB50" s="398">
        <f>'AUX UF'!C49</f>
        <v>22447.5393103448</v>
      </c>
      <c r="AC50" s="325">
        <f t="shared" si="7"/>
        <v>1.4448707474165376</v>
      </c>
      <c r="AD50" s="325">
        <f t="shared" si="7"/>
        <v>0.75211768642362908</v>
      </c>
      <c r="AE50" s="325">
        <f t="shared" si="7"/>
        <v>0</v>
      </c>
      <c r="AF50" s="325">
        <f t="shared" si="6"/>
        <v>0.98511900927194895</v>
      </c>
      <c r="AG50" s="325">
        <f t="shared" si="6"/>
        <v>0.10998314153134131</v>
      </c>
      <c r="AH50" s="325">
        <f t="shared" si="6"/>
        <v>0</v>
      </c>
      <c r="AI50" s="325">
        <f t="shared" si="6"/>
        <v>3.2920905846434567</v>
      </c>
      <c r="AJ50" s="447">
        <f t="shared" si="4"/>
        <v>2.0952381473868353</v>
      </c>
      <c r="AK50" s="447">
        <f t="shared" si="5"/>
        <v>1.1968524372566218</v>
      </c>
    </row>
    <row r="51" spans="2:37" s="63" customFormat="1" ht="12.75" x14ac:dyDescent="0.2">
      <c r="B51" s="325">
        <f t="shared" si="1"/>
        <v>2012</v>
      </c>
      <c r="C51" s="394">
        <v>40969</v>
      </c>
      <c r="D51" s="395">
        <v>23014.933635000001</v>
      </c>
      <c r="E51" s="395">
        <v>9981.7412120000008</v>
      </c>
      <c r="F51" s="395"/>
      <c r="G51" s="395">
        <v>13091.164983000001</v>
      </c>
      <c r="H51" s="395">
        <v>1327.328452</v>
      </c>
      <c r="I51" s="395">
        <v>0</v>
      </c>
      <c r="J51" s="395">
        <v>47415.168281999999</v>
      </c>
      <c r="K51" s="395">
        <v>9400.6049739999999</v>
      </c>
      <c r="L51" s="395">
        <v>7146.6268550000004</v>
      </c>
      <c r="M51" s="395"/>
      <c r="N51" s="395">
        <v>9493.1155139999992</v>
      </c>
      <c r="O51" s="395">
        <v>962.92586200000005</v>
      </c>
      <c r="P51" s="395">
        <v>0</v>
      </c>
      <c r="Q51" s="395">
        <v>27003.273205000001</v>
      </c>
      <c r="R51" s="395">
        <v>32415.538608999999</v>
      </c>
      <c r="S51" s="395">
        <v>17128.368066999999</v>
      </c>
      <c r="T51" s="395"/>
      <c r="U51" s="395">
        <v>22584.280497</v>
      </c>
      <c r="V51" s="395">
        <v>2290.2543139999998</v>
      </c>
      <c r="W51" s="396">
        <v>0</v>
      </c>
      <c r="X51" s="395">
        <v>74418.441487000004</v>
      </c>
      <c r="Y51" s="397"/>
      <c r="Z51" s="325">
        <f t="shared" si="2"/>
        <v>2012</v>
      </c>
      <c r="AA51" s="394">
        <v>40969</v>
      </c>
      <c r="AB51" s="398">
        <f>'AUX UF'!C50</f>
        <v>22492.497741935498</v>
      </c>
      <c r="AC51" s="325">
        <f t="shared" si="7"/>
        <v>1.4411711398580589</v>
      </c>
      <c r="AD51" s="325">
        <f t="shared" si="7"/>
        <v>0.76151471764140721</v>
      </c>
      <c r="AE51" s="325">
        <f t="shared" si="7"/>
        <v>0</v>
      </c>
      <c r="AF51" s="325">
        <f t="shared" si="6"/>
        <v>1.0040805941659996</v>
      </c>
      <c r="AG51" s="325">
        <f t="shared" si="6"/>
        <v>0.10182303185163825</v>
      </c>
      <c r="AH51" s="325">
        <f t="shared" si="6"/>
        <v>0</v>
      </c>
      <c r="AI51" s="325">
        <f t="shared" si="6"/>
        <v>3.3085894835171041</v>
      </c>
      <c r="AJ51" s="447">
        <f t="shared" si="4"/>
        <v>2.1080437053283831</v>
      </c>
      <c r="AK51" s="447">
        <f t="shared" si="5"/>
        <v>1.200545778188721</v>
      </c>
    </row>
    <row r="52" spans="2:37" s="63" customFormat="1" ht="12.75" x14ac:dyDescent="0.2">
      <c r="B52" s="325">
        <f t="shared" si="1"/>
        <v>2012</v>
      </c>
      <c r="C52" s="394">
        <v>41000</v>
      </c>
      <c r="D52" s="395">
        <v>22990.287704999999</v>
      </c>
      <c r="E52" s="395">
        <v>9964.9091779999999</v>
      </c>
      <c r="F52" s="395"/>
      <c r="G52" s="395">
        <v>12376.984071000001</v>
      </c>
      <c r="H52" s="395">
        <v>1353.401746</v>
      </c>
      <c r="I52" s="395">
        <v>0</v>
      </c>
      <c r="J52" s="395">
        <v>46685.582699999999</v>
      </c>
      <c r="K52" s="395">
        <v>9341.7394769999992</v>
      </c>
      <c r="L52" s="395">
        <v>7116.2323779999997</v>
      </c>
      <c r="M52" s="395"/>
      <c r="N52" s="395">
        <v>9138.5919620000004</v>
      </c>
      <c r="O52" s="395">
        <v>966.80572400000005</v>
      </c>
      <c r="P52" s="395">
        <v>0</v>
      </c>
      <c r="Q52" s="395">
        <v>26563.369541</v>
      </c>
      <c r="R52" s="395">
        <v>32332.027182000002</v>
      </c>
      <c r="S52" s="395">
        <v>17081.141555999999</v>
      </c>
      <c r="T52" s="395"/>
      <c r="U52" s="395">
        <v>21515.576033000001</v>
      </c>
      <c r="V52" s="395">
        <v>2320.2074699999998</v>
      </c>
      <c r="W52" s="396">
        <v>0</v>
      </c>
      <c r="X52" s="395">
        <v>73248.952241000006</v>
      </c>
      <c r="Y52" s="397"/>
      <c r="Z52" s="325">
        <f t="shared" si="2"/>
        <v>2012</v>
      </c>
      <c r="AA52" s="394">
        <v>41000</v>
      </c>
      <c r="AB52" s="398">
        <f>'AUX UF'!C51</f>
        <v>22567.729666666699</v>
      </c>
      <c r="AC52" s="325">
        <f t="shared" si="7"/>
        <v>1.4326663629685135</v>
      </c>
      <c r="AD52" s="325">
        <f t="shared" si="7"/>
        <v>0.75688347070327699</v>
      </c>
      <c r="AE52" s="325">
        <f t="shared" si="7"/>
        <v>0</v>
      </c>
      <c r="AF52" s="325">
        <f t="shared" si="6"/>
        <v>0.95337795829676375</v>
      </c>
      <c r="AG52" s="325">
        <f t="shared" si="6"/>
        <v>0.10281085001771467</v>
      </c>
      <c r="AH52" s="325">
        <f t="shared" si="6"/>
        <v>0</v>
      </c>
      <c r="AI52" s="325">
        <f t="shared" si="6"/>
        <v>3.2457386419862688</v>
      </c>
      <c r="AJ52" s="447">
        <f t="shared" si="4"/>
        <v>2.0686876079057339</v>
      </c>
      <c r="AK52" s="447">
        <f t="shared" si="5"/>
        <v>1.1770510340805347</v>
      </c>
    </row>
    <row r="53" spans="2:37" s="63" customFormat="1" ht="12.75" x14ac:dyDescent="0.2">
      <c r="B53" s="325">
        <f t="shared" si="1"/>
        <v>2012</v>
      </c>
      <c r="C53" s="394">
        <v>41030</v>
      </c>
      <c r="D53" s="395">
        <v>22904.546229</v>
      </c>
      <c r="E53" s="395">
        <v>10044.898421</v>
      </c>
      <c r="F53" s="395"/>
      <c r="G53" s="395">
        <v>13076.498552999999</v>
      </c>
      <c r="H53" s="395">
        <v>1386.5781790000001</v>
      </c>
      <c r="I53" s="395">
        <v>0</v>
      </c>
      <c r="J53" s="395">
        <v>47412.521381999999</v>
      </c>
      <c r="K53" s="395">
        <v>9303.2442919999994</v>
      </c>
      <c r="L53" s="395">
        <v>7106.8537150000002</v>
      </c>
      <c r="M53" s="395"/>
      <c r="N53" s="395">
        <v>9569.2411759999995</v>
      </c>
      <c r="O53" s="395">
        <v>994.77512899999999</v>
      </c>
      <c r="P53" s="395">
        <v>0</v>
      </c>
      <c r="Q53" s="395">
        <v>26974.114312000002</v>
      </c>
      <c r="R53" s="395">
        <v>32207.790520999999</v>
      </c>
      <c r="S53" s="395">
        <v>17151.752135999999</v>
      </c>
      <c r="T53" s="395"/>
      <c r="U53" s="395">
        <v>22645.739729000001</v>
      </c>
      <c r="V53" s="395">
        <v>2381.3533080000002</v>
      </c>
      <c r="W53" s="396">
        <v>0</v>
      </c>
      <c r="X53" s="395">
        <v>74386.635693999997</v>
      </c>
      <c r="Y53" s="397"/>
      <c r="Z53" s="325">
        <f t="shared" si="2"/>
        <v>2012</v>
      </c>
      <c r="AA53" s="394">
        <v>41030</v>
      </c>
      <c r="AB53" s="398">
        <f>'AUX UF'!C52</f>
        <v>22608.960967741899</v>
      </c>
      <c r="AC53" s="325">
        <f t="shared" si="7"/>
        <v>1.4245586326126864</v>
      </c>
      <c r="AD53" s="325">
        <f t="shared" si="7"/>
        <v>0.75862628806656984</v>
      </c>
      <c r="AE53" s="325">
        <f t="shared" si="7"/>
        <v>0</v>
      </c>
      <c r="AF53" s="325">
        <f t="shared" si="6"/>
        <v>1.0016267338118978</v>
      </c>
      <c r="AG53" s="325">
        <f t="shared" si="6"/>
        <v>0.10532785258896579</v>
      </c>
      <c r="AH53" s="325">
        <f t="shared" si="6"/>
        <v>0</v>
      </c>
      <c r="AI53" s="325">
        <f t="shared" si="6"/>
        <v>3.2901395070801196</v>
      </c>
      <c r="AJ53" s="447">
        <f t="shared" si="4"/>
        <v>2.0970676825727383</v>
      </c>
      <c r="AK53" s="447">
        <f t="shared" si="5"/>
        <v>1.1930718245073815</v>
      </c>
    </row>
    <row r="54" spans="2:37" s="63" customFormat="1" ht="12.75" x14ac:dyDescent="0.2">
      <c r="B54" s="325">
        <f t="shared" si="1"/>
        <v>2012</v>
      </c>
      <c r="C54" s="394">
        <v>41061</v>
      </c>
      <c r="D54" s="395">
        <v>22982.535873000001</v>
      </c>
      <c r="E54" s="395">
        <v>10055.339674000001</v>
      </c>
      <c r="F54" s="395"/>
      <c r="G54" s="395">
        <v>13266.851407</v>
      </c>
      <c r="H54" s="395">
        <v>1412.549894</v>
      </c>
      <c r="I54" s="395">
        <v>0</v>
      </c>
      <c r="J54" s="395">
        <v>47717.276848000001</v>
      </c>
      <c r="K54" s="395">
        <v>9321.4801310000003</v>
      </c>
      <c r="L54" s="395">
        <v>7145.7259510000004</v>
      </c>
      <c r="M54" s="395"/>
      <c r="N54" s="395">
        <v>9544.1394130000008</v>
      </c>
      <c r="O54" s="395">
        <v>1020.063631</v>
      </c>
      <c r="P54" s="395">
        <v>0</v>
      </c>
      <c r="Q54" s="395">
        <v>27031.409125999999</v>
      </c>
      <c r="R54" s="395">
        <v>32304.016004000001</v>
      </c>
      <c r="S54" s="395">
        <v>17201.065624999999</v>
      </c>
      <c r="T54" s="395"/>
      <c r="U54" s="395">
        <v>22810.990819999999</v>
      </c>
      <c r="V54" s="395">
        <v>2432.6135250000002</v>
      </c>
      <c r="W54" s="396">
        <v>0</v>
      </c>
      <c r="X54" s="395">
        <v>74748.685974000007</v>
      </c>
      <c r="Y54" s="397"/>
      <c r="Z54" s="325">
        <f t="shared" si="2"/>
        <v>2012</v>
      </c>
      <c r="AA54" s="394">
        <v>41061</v>
      </c>
      <c r="AB54" s="398">
        <f>'AUX UF'!C53</f>
        <v>22626.4866666667</v>
      </c>
      <c r="AC54" s="325">
        <f t="shared" si="7"/>
        <v>1.4277079990324004</v>
      </c>
      <c r="AD54" s="325">
        <f t="shared" si="7"/>
        <v>0.76021814073064109</v>
      </c>
      <c r="AE54" s="325">
        <f t="shared" si="7"/>
        <v>0</v>
      </c>
      <c r="AF54" s="325">
        <f t="shared" si="6"/>
        <v>1.0081543438913612</v>
      </c>
      <c r="AG54" s="325">
        <f t="shared" si="6"/>
        <v>0.10751176534109125</v>
      </c>
      <c r="AH54" s="325">
        <f t="shared" si="6"/>
        <v>0</v>
      </c>
      <c r="AI54" s="325">
        <f t="shared" si="6"/>
        <v>3.3035922489954941</v>
      </c>
      <c r="AJ54" s="447">
        <f t="shared" si="4"/>
        <v>2.1089123358376716</v>
      </c>
      <c r="AK54" s="447">
        <f t="shared" si="5"/>
        <v>1.1946799131578223</v>
      </c>
    </row>
    <row r="55" spans="2:37" s="63" customFormat="1" ht="12.75" x14ac:dyDescent="0.2">
      <c r="B55" s="325">
        <f t="shared" si="1"/>
        <v>2012</v>
      </c>
      <c r="C55" s="394">
        <v>41091</v>
      </c>
      <c r="D55" s="395">
        <v>23625.224163999999</v>
      </c>
      <c r="E55" s="395">
        <v>10287.910867000001</v>
      </c>
      <c r="F55" s="395"/>
      <c r="G55" s="395">
        <v>13383.284857000001</v>
      </c>
      <c r="H55" s="395">
        <v>1442.5952669999999</v>
      </c>
      <c r="I55" s="395">
        <v>0</v>
      </c>
      <c r="J55" s="395">
        <v>48739.015155000001</v>
      </c>
      <c r="K55" s="395">
        <v>9579.2238190000007</v>
      </c>
      <c r="L55" s="395">
        <v>7330.0228999999999</v>
      </c>
      <c r="M55" s="395"/>
      <c r="N55" s="395">
        <v>9885.4480010000007</v>
      </c>
      <c r="O55" s="395">
        <v>1036.2915170000001</v>
      </c>
      <c r="P55" s="395">
        <v>0</v>
      </c>
      <c r="Q55" s="395">
        <v>27830.986237000001</v>
      </c>
      <c r="R55" s="395">
        <v>33204.447982999998</v>
      </c>
      <c r="S55" s="395">
        <v>17617.933766999999</v>
      </c>
      <c r="T55" s="395"/>
      <c r="U55" s="395">
        <v>23268.732857999999</v>
      </c>
      <c r="V55" s="395">
        <v>2478.8867839999998</v>
      </c>
      <c r="W55" s="396">
        <v>0</v>
      </c>
      <c r="X55" s="395">
        <v>76570.001392000006</v>
      </c>
      <c r="Y55" s="397"/>
      <c r="Z55" s="325">
        <f t="shared" si="2"/>
        <v>2012</v>
      </c>
      <c r="AA55" s="394">
        <v>41091</v>
      </c>
      <c r="AB55" s="398">
        <f>'AUX UF'!C54</f>
        <v>22609.474838709699</v>
      </c>
      <c r="AC55" s="325">
        <f t="shared" si="7"/>
        <v>1.4686076620475341</v>
      </c>
      <c r="AD55" s="325">
        <f t="shared" si="7"/>
        <v>0.7792279074450823</v>
      </c>
      <c r="AE55" s="325">
        <f t="shared" si="7"/>
        <v>0</v>
      </c>
      <c r="AF55" s="325">
        <f t="shared" si="6"/>
        <v>1.0291584843961783</v>
      </c>
      <c r="AG55" s="325">
        <f t="shared" si="6"/>
        <v>0.10963929068161707</v>
      </c>
      <c r="AH55" s="325">
        <f t="shared" si="6"/>
        <v>0</v>
      </c>
      <c r="AI55" s="325">
        <f t="shared" si="6"/>
        <v>3.386633344570412</v>
      </c>
      <c r="AJ55" s="447">
        <f t="shared" si="4"/>
        <v>2.1556898381183935</v>
      </c>
      <c r="AK55" s="447">
        <f t="shared" si="5"/>
        <v>1.2309435064520184</v>
      </c>
    </row>
    <row r="56" spans="2:37" s="63" customFormat="1" ht="12.75" x14ac:dyDescent="0.2">
      <c r="B56" s="325">
        <f t="shared" si="1"/>
        <v>2012</v>
      </c>
      <c r="C56" s="394">
        <v>41122</v>
      </c>
      <c r="D56" s="395">
        <v>23570.869542</v>
      </c>
      <c r="E56" s="395">
        <v>9639.5533439999999</v>
      </c>
      <c r="F56" s="395"/>
      <c r="G56" s="395">
        <v>13990.675440000001</v>
      </c>
      <c r="H56" s="395">
        <v>1912.3332459999999</v>
      </c>
      <c r="I56" s="395">
        <v>0</v>
      </c>
      <c r="J56" s="395">
        <v>49113.431572000001</v>
      </c>
      <c r="K56" s="395">
        <v>9505.3467430000001</v>
      </c>
      <c r="L56" s="395">
        <v>6708.4512269999996</v>
      </c>
      <c r="M56" s="395"/>
      <c r="N56" s="395">
        <v>10303.166095</v>
      </c>
      <c r="O56" s="395">
        <v>1516.7494799999999</v>
      </c>
      <c r="P56" s="395">
        <v>0</v>
      </c>
      <c r="Q56" s="395">
        <v>28033.713544999999</v>
      </c>
      <c r="R56" s="395">
        <v>33076.216285000002</v>
      </c>
      <c r="S56" s="395">
        <v>16348.004570999999</v>
      </c>
      <c r="T56" s="395"/>
      <c r="U56" s="395">
        <v>24293.841535</v>
      </c>
      <c r="V56" s="395">
        <v>3429.0827260000001</v>
      </c>
      <c r="W56" s="396">
        <v>0</v>
      </c>
      <c r="X56" s="395">
        <v>77147.145116999993</v>
      </c>
      <c r="Y56" s="397"/>
      <c r="Z56" s="325">
        <f t="shared" si="2"/>
        <v>2012</v>
      </c>
      <c r="AA56" s="394">
        <v>41122</v>
      </c>
      <c r="AB56" s="398">
        <f>'AUX UF'!C55</f>
        <v>22562.0193548387</v>
      </c>
      <c r="AC56" s="325">
        <f t="shared" si="7"/>
        <v>1.4660131154397935</v>
      </c>
      <c r="AD56" s="325">
        <f t="shared" si="7"/>
        <v>0.72458073516783728</v>
      </c>
      <c r="AE56" s="325">
        <f t="shared" si="7"/>
        <v>0</v>
      </c>
      <c r="AF56" s="325">
        <f t="shared" si="6"/>
        <v>1.0767582968937526</v>
      </c>
      <c r="AG56" s="325">
        <f t="shared" si="6"/>
        <v>0.15198474356705094</v>
      </c>
      <c r="AH56" s="325">
        <f t="shared" si="6"/>
        <v>0</v>
      </c>
      <c r="AI56" s="325">
        <f t="shared" si="6"/>
        <v>3.4193368910684341</v>
      </c>
      <c r="AJ56" s="447">
        <f t="shared" si="4"/>
        <v>2.1768189628587935</v>
      </c>
      <c r="AK56" s="447">
        <f t="shared" si="5"/>
        <v>1.2425179282096408</v>
      </c>
    </row>
    <row r="57" spans="2:37" s="63" customFormat="1" ht="12.75" x14ac:dyDescent="0.2">
      <c r="B57" s="325">
        <f t="shared" si="1"/>
        <v>2012</v>
      </c>
      <c r="C57" s="394">
        <v>41153</v>
      </c>
      <c r="D57" s="395">
        <v>23415.891329999999</v>
      </c>
      <c r="E57" s="395">
        <v>9781.1057029999993</v>
      </c>
      <c r="F57" s="395"/>
      <c r="G57" s="395">
        <v>14069.211756999999</v>
      </c>
      <c r="H57" s="395">
        <v>1914.024118</v>
      </c>
      <c r="I57" s="395">
        <v>0</v>
      </c>
      <c r="J57" s="395">
        <v>49180.232907999998</v>
      </c>
      <c r="K57" s="395">
        <v>9402.5375609999992</v>
      </c>
      <c r="L57" s="395">
        <v>6763.177248</v>
      </c>
      <c r="M57" s="395"/>
      <c r="N57" s="395">
        <v>10442.705948999999</v>
      </c>
      <c r="O57" s="395">
        <v>1552.793889</v>
      </c>
      <c r="P57" s="395">
        <v>0</v>
      </c>
      <c r="Q57" s="395">
        <v>28161.214647000001</v>
      </c>
      <c r="R57" s="395">
        <v>32818.428891000003</v>
      </c>
      <c r="S57" s="395">
        <v>16544.282951000001</v>
      </c>
      <c r="T57" s="395"/>
      <c r="U57" s="395">
        <v>24511.917706</v>
      </c>
      <c r="V57" s="395">
        <v>3466.8180069999999</v>
      </c>
      <c r="W57" s="396">
        <v>0</v>
      </c>
      <c r="X57" s="395">
        <v>77341.447555000006</v>
      </c>
      <c r="Y57" s="397"/>
      <c r="Z57" s="325">
        <f t="shared" si="2"/>
        <v>2012</v>
      </c>
      <c r="AA57" s="394">
        <v>41153</v>
      </c>
      <c r="AB57" s="398">
        <f>'AUX UF'!C56</f>
        <v>22571.054333333301</v>
      </c>
      <c r="AC57" s="325">
        <f t="shared" si="7"/>
        <v>1.4540051344669891</v>
      </c>
      <c r="AD57" s="325">
        <f t="shared" si="7"/>
        <v>0.73298671416368599</v>
      </c>
      <c r="AE57" s="325">
        <f t="shared" si="7"/>
        <v>0</v>
      </c>
      <c r="AF57" s="325">
        <f t="shared" si="6"/>
        <v>1.0859890434892268</v>
      </c>
      <c r="AG57" s="325">
        <f t="shared" si="6"/>
        <v>0.15359574948522217</v>
      </c>
      <c r="AH57" s="325">
        <f t="shared" si="6"/>
        <v>0</v>
      </c>
      <c r="AI57" s="325">
        <f t="shared" si="6"/>
        <v>3.426576641605124</v>
      </c>
      <c r="AJ57" s="447">
        <f t="shared" si="4"/>
        <v>2.1789072048517393</v>
      </c>
      <c r="AK57" s="447">
        <f t="shared" si="5"/>
        <v>1.2476694367533847</v>
      </c>
    </row>
    <row r="58" spans="2:37" s="63" customFormat="1" ht="12.75" x14ac:dyDescent="0.2">
      <c r="B58" s="325">
        <f t="shared" si="1"/>
        <v>2012</v>
      </c>
      <c r="C58" s="394">
        <v>41183</v>
      </c>
      <c r="D58" s="395">
        <v>23671.707484999999</v>
      </c>
      <c r="E58" s="395">
        <v>9486.7823380000009</v>
      </c>
      <c r="F58" s="395"/>
      <c r="G58" s="395">
        <v>14684.423467000001</v>
      </c>
      <c r="H58" s="395">
        <v>1863.965471</v>
      </c>
      <c r="I58" s="395">
        <v>0</v>
      </c>
      <c r="J58" s="395">
        <v>49706.878761</v>
      </c>
      <c r="K58" s="395">
        <v>9505.7108260000005</v>
      </c>
      <c r="L58" s="395">
        <v>6641.6539469999998</v>
      </c>
      <c r="M58" s="395"/>
      <c r="N58" s="395">
        <v>10722.556332</v>
      </c>
      <c r="O58" s="395">
        <v>1473.3497139999999</v>
      </c>
      <c r="P58" s="395">
        <v>0</v>
      </c>
      <c r="Q58" s="395">
        <v>28343.270819000001</v>
      </c>
      <c r="R58" s="395">
        <v>33177.418311000001</v>
      </c>
      <c r="S58" s="395">
        <v>16128.436285</v>
      </c>
      <c r="T58" s="395"/>
      <c r="U58" s="395">
        <v>25406.979799000001</v>
      </c>
      <c r="V58" s="395">
        <v>3337.3151849999999</v>
      </c>
      <c r="W58" s="396">
        <v>0</v>
      </c>
      <c r="X58" s="395">
        <v>78050.149579999998</v>
      </c>
      <c r="Y58" s="397"/>
      <c r="Z58" s="325">
        <f t="shared" si="2"/>
        <v>2012</v>
      </c>
      <c r="AA58" s="394">
        <v>41183</v>
      </c>
      <c r="AB58" s="398">
        <f>'AUX UF'!C57</f>
        <v>22650.361935483899</v>
      </c>
      <c r="AC58" s="325">
        <f t="shared" si="7"/>
        <v>1.464763274224969</v>
      </c>
      <c r="AD58" s="325">
        <f t="shared" si="7"/>
        <v>0.71206086379279021</v>
      </c>
      <c r="AE58" s="325">
        <f t="shared" si="7"/>
        <v>0</v>
      </c>
      <c r="AF58" s="325">
        <f t="shared" si="6"/>
        <v>1.1217030381840214</v>
      </c>
      <c r="AG58" s="325">
        <f t="shared" si="6"/>
        <v>0.1473404793488878</v>
      </c>
      <c r="AH58" s="325">
        <f t="shared" si="6"/>
        <v>0</v>
      </c>
      <c r="AI58" s="325">
        <f t="shared" si="6"/>
        <v>3.4458676555506682</v>
      </c>
      <c r="AJ58" s="447">
        <f t="shared" si="4"/>
        <v>2.1945291162491118</v>
      </c>
      <c r="AK58" s="447">
        <f t="shared" si="5"/>
        <v>1.2513385393015566</v>
      </c>
    </row>
    <row r="59" spans="2:37" s="63" customFormat="1" ht="12.75" x14ac:dyDescent="0.2">
      <c r="B59" s="325">
        <f t="shared" si="1"/>
        <v>2012</v>
      </c>
      <c r="C59" s="394">
        <v>41214</v>
      </c>
      <c r="D59" s="395">
        <v>23487.576331</v>
      </c>
      <c r="E59" s="395">
        <v>9729.3042069999992</v>
      </c>
      <c r="F59" s="395"/>
      <c r="G59" s="395">
        <v>15047.736121</v>
      </c>
      <c r="H59" s="395">
        <v>1709.7108639999999</v>
      </c>
      <c r="I59" s="395">
        <v>0</v>
      </c>
      <c r="J59" s="395">
        <v>49974.327523</v>
      </c>
      <c r="K59" s="395">
        <v>9415.9664030000004</v>
      </c>
      <c r="L59" s="395">
        <v>6776.7973089999996</v>
      </c>
      <c r="M59" s="395"/>
      <c r="N59" s="395">
        <v>11120.846160999999</v>
      </c>
      <c r="O59" s="395">
        <v>1317.2677080000001</v>
      </c>
      <c r="P59" s="395">
        <v>0</v>
      </c>
      <c r="Q59" s="395">
        <v>28630.877581000001</v>
      </c>
      <c r="R59" s="395">
        <v>32903.542734000002</v>
      </c>
      <c r="S59" s="395">
        <v>16506.101515999999</v>
      </c>
      <c r="T59" s="395"/>
      <c r="U59" s="395">
        <v>26168.582281999999</v>
      </c>
      <c r="V59" s="395">
        <v>3026.978572</v>
      </c>
      <c r="W59" s="396">
        <v>0</v>
      </c>
      <c r="X59" s="395">
        <v>78605.205103999993</v>
      </c>
      <c r="Y59" s="397"/>
      <c r="Z59" s="325">
        <f t="shared" si="2"/>
        <v>2012</v>
      </c>
      <c r="AA59" s="394">
        <v>41214</v>
      </c>
      <c r="AB59" s="398">
        <f>'AUX UF'!C58</f>
        <v>22813.4506666667</v>
      </c>
      <c r="AC59" s="325">
        <f t="shared" si="7"/>
        <v>1.4422869742399902</v>
      </c>
      <c r="AD59" s="325">
        <f t="shared" si="7"/>
        <v>0.72352498344835992</v>
      </c>
      <c r="AE59" s="325">
        <f t="shared" si="7"/>
        <v>0</v>
      </c>
      <c r="AF59" s="325">
        <f t="shared" si="6"/>
        <v>1.1470681338108824</v>
      </c>
      <c r="AG59" s="325">
        <f t="shared" si="6"/>
        <v>0.13268394230351105</v>
      </c>
      <c r="AH59" s="325">
        <f t="shared" si="6"/>
        <v>0</v>
      </c>
      <c r="AI59" s="325">
        <f t="shared" si="6"/>
        <v>3.4455640338027429</v>
      </c>
      <c r="AJ59" s="447">
        <f t="shared" si="4"/>
        <v>2.1905641655525061</v>
      </c>
      <c r="AK59" s="447">
        <f t="shared" si="5"/>
        <v>1.2549998682502375</v>
      </c>
    </row>
    <row r="60" spans="2:37" s="63" customFormat="1" ht="12.75" x14ac:dyDescent="0.2">
      <c r="B60" s="325">
        <f t="shared" si="1"/>
        <v>2012</v>
      </c>
      <c r="C60" s="394">
        <v>41244</v>
      </c>
      <c r="D60" s="395">
        <v>23954.986983999999</v>
      </c>
      <c r="E60" s="395">
        <v>9501.0415219999995</v>
      </c>
      <c r="F60" s="395"/>
      <c r="G60" s="395">
        <v>15379.786630000001</v>
      </c>
      <c r="H60" s="395">
        <v>1849.9116100000001</v>
      </c>
      <c r="I60" s="395">
        <v>0</v>
      </c>
      <c r="J60" s="395">
        <v>50685.726746</v>
      </c>
      <c r="K60" s="395">
        <v>9559.5361639999992</v>
      </c>
      <c r="L60" s="395">
        <v>6656.7527550000004</v>
      </c>
      <c r="M60" s="395"/>
      <c r="N60" s="395">
        <v>11110.423656999999</v>
      </c>
      <c r="O60" s="395">
        <v>1421.3399059999999</v>
      </c>
      <c r="P60" s="395">
        <v>0</v>
      </c>
      <c r="Q60" s="395">
        <v>28748.052481999999</v>
      </c>
      <c r="R60" s="395">
        <v>33514.523148</v>
      </c>
      <c r="S60" s="395">
        <v>16157.794277000001</v>
      </c>
      <c r="T60" s="395"/>
      <c r="U60" s="395">
        <v>26490.210287000002</v>
      </c>
      <c r="V60" s="395">
        <v>3271.2515159999998</v>
      </c>
      <c r="W60" s="396">
        <v>0</v>
      </c>
      <c r="X60" s="395">
        <v>79433.779227999999</v>
      </c>
      <c r="Y60" s="397"/>
      <c r="Z60" s="325">
        <f t="shared" si="2"/>
        <v>2012</v>
      </c>
      <c r="AA60" s="394">
        <v>41244</v>
      </c>
      <c r="AB60" s="398">
        <f>'AUX UF'!C59</f>
        <v>22886.633548387101</v>
      </c>
      <c r="AC60" s="325">
        <f t="shared" si="7"/>
        <v>1.4643710302410065</v>
      </c>
      <c r="AD60" s="325">
        <f t="shared" si="7"/>
        <v>0.70599261542065872</v>
      </c>
      <c r="AE60" s="325">
        <f t="shared" si="7"/>
        <v>0</v>
      </c>
      <c r="AF60" s="325">
        <f t="shared" si="6"/>
        <v>1.1574533332302539</v>
      </c>
      <c r="AG60" s="325">
        <f t="shared" si="6"/>
        <v>0.14293283933977857</v>
      </c>
      <c r="AH60" s="325">
        <f t="shared" si="6"/>
        <v>0</v>
      </c>
      <c r="AI60" s="325">
        <f t="shared" si="6"/>
        <v>3.4707498182316976</v>
      </c>
      <c r="AJ60" s="447">
        <f t="shared" si="4"/>
        <v>2.2146431732233505</v>
      </c>
      <c r="AK60" s="447">
        <f t="shared" si="5"/>
        <v>1.2561066450083469</v>
      </c>
    </row>
    <row r="61" spans="2:37" s="63" customFormat="1" ht="12.75" x14ac:dyDescent="0.2">
      <c r="B61" s="325">
        <f t="shared" si="1"/>
        <v>2013</v>
      </c>
      <c r="C61" s="394">
        <v>41275</v>
      </c>
      <c r="D61" s="395">
        <v>23825.269948000001</v>
      </c>
      <c r="E61" s="395">
        <v>9630.6042539999999</v>
      </c>
      <c r="F61" s="395"/>
      <c r="G61" s="395">
        <v>15155.009141</v>
      </c>
      <c r="H61" s="395">
        <v>1842.425649</v>
      </c>
      <c r="I61" s="395">
        <v>0</v>
      </c>
      <c r="J61" s="395">
        <v>50453.308991999998</v>
      </c>
      <c r="K61" s="395">
        <v>9490.9767969999994</v>
      </c>
      <c r="L61" s="395">
        <v>6717.4550479999998</v>
      </c>
      <c r="M61" s="395"/>
      <c r="N61" s="395">
        <v>11117.546098000001</v>
      </c>
      <c r="O61" s="395">
        <v>1422.53387</v>
      </c>
      <c r="P61" s="395">
        <v>0</v>
      </c>
      <c r="Q61" s="395">
        <v>28748.511813000001</v>
      </c>
      <c r="R61" s="395">
        <v>33316.246744999997</v>
      </c>
      <c r="S61" s="395">
        <v>16348.059302</v>
      </c>
      <c r="T61" s="395"/>
      <c r="U61" s="395">
        <v>26272.555239000001</v>
      </c>
      <c r="V61" s="395">
        <v>3264.959519</v>
      </c>
      <c r="W61" s="396">
        <v>0</v>
      </c>
      <c r="X61" s="395">
        <v>79201.820804999996</v>
      </c>
      <c r="Y61" s="397"/>
      <c r="Z61" s="325">
        <f t="shared" si="2"/>
        <v>2013</v>
      </c>
      <c r="AA61" s="394">
        <v>41275</v>
      </c>
      <c r="AB61" s="398">
        <f>'AUX UF'!C60</f>
        <v>22811.8251612903</v>
      </c>
      <c r="AC61" s="325">
        <f t="shared" si="7"/>
        <v>1.4604814173981482</v>
      </c>
      <c r="AD61" s="325">
        <f t="shared" si="7"/>
        <v>0.71664845694772583</v>
      </c>
      <c r="AE61" s="325">
        <f t="shared" si="7"/>
        <v>0</v>
      </c>
      <c r="AF61" s="325">
        <f t="shared" si="6"/>
        <v>1.1517077240966349</v>
      </c>
      <c r="AG61" s="325">
        <f t="shared" si="6"/>
        <v>0.14312574710332054</v>
      </c>
      <c r="AH61" s="325">
        <f t="shared" si="6"/>
        <v>0</v>
      </c>
      <c r="AI61" s="325">
        <f t="shared" si="6"/>
        <v>3.471963345545829</v>
      </c>
      <c r="AJ61" s="447">
        <f t="shared" si="4"/>
        <v>2.2117173279766722</v>
      </c>
      <c r="AK61" s="447">
        <f t="shared" si="5"/>
        <v>1.2602460175691572</v>
      </c>
    </row>
    <row r="62" spans="2:37" s="63" customFormat="1" ht="12.75" x14ac:dyDescent="0.2">
      <c r="B62" s="325">
        <f t="shared" si="1"/>
        <v>2013</v>
      </c>
      <c r="C62" s="394">
        <v>41306</v>
      </c>
      <c r="D62" s="395">
        <v>23675.656448000002</v>
      </c>
      <c r="E62" s="395">
        <v>9568.4498390000008</v>
      </c>
      <c r="F62" s="395"/>
      <c r="G62" s="395">
        <v>14937.260643</v>
      </c>
      <c r="H62" s="395">
        <v>1863.082623</v>
      </c>
      <c r="I62" s="395">
        <v>0</v>
      </c>
      <c r="J62" s="395">
        <v>50044.449552999999</v>
      </c>
      <c r="K62" s="395">
        <v>9451.241747</v>
      </c>
      <c r="L62" s="395">
        <v>6718.313365</v>
      </c>
      <c r="M62" s="395"/>
      <c r="N62" s="395">
        <v>11012.384292999999</v>
      </c>
      <c r="O62" s="395">
        <v>1419.562821</v>
      </c>
      <c r="P62" s="395">
        <v>0</v>
      </c>
      <c r="Q62" s="395">
        <v>28601.502226000001</v>
      </c>
      <c r="R62" s="395">
        <v>33126.898195000002</v>
      </c>
      <c r="S62" s="395">
        <v>16286.763204000001</v>
      </c>
      <c r="T62" s="395"/>
      <c r="U62" s="395">
        <v>25949.644936000001</v>
      </c>
      <c r="V62" s="395">
        <v>3282.6454440000002</v>
      </c>
      <c r="W62" s="396">
        <v>0</v>
      </c>
      <c r="X62" s="395">
        <v>78645.951778999995</v>
      </c>
      <c r="Y62" s="397"/>
      <c r="Z62" s="325">
        <f t="shared" si="2"/>
        <v>2013</v>
      </c>
      <c r="AA62" s="394">
        <v>41306</v>
      </c>
      <c r="AB62" s="398">
        <f>'AUX UF'!C61</f>
        <v>22818.5889285714</v>
      </c>
      <c r="AC62" s="325">
        <f t="shared" si="7"/>
        <v>1.4517505135263407</v>
      </c>
      <c r="AD62" s="325">
        <f t="shared" si="7"/>
        <v>0.71374979649189307</v>
      </c>
      <c r="AE62" s="325">
        <f t="shared" si="7"/>
        <v>0</v>
      </c>
      <c r="AF62" s="325">
        <f t="shared" si="6"/>
        <v>1.1372151458282407</v>
      </c>
      <c r="AG62" s="325">
        <f t="shared" si="6"/>
        <v>0.1438583890649682</v>
      </c>
      <c r="AH62" s="325">
        <f t="shared" si="6"/>
        <v>0</v>
      </c>
      <c r="AI62" s="325">
        <f t="shared" si="6"/>
        <v>3.446573844911442</v>
      </c>
      <c r="AJ62" s="447">
        <f t="shared" si="4"/>
        <v>2.1931439191815585</v>
      </c>
      <c r="AK62" s="447">
        <f t="shared" si="5"/>
        <v>1.2534299257298838</v>
      </c>
    </row>
    <row r="63" spans="2:37" s="63" customFormat="1" ht="12.75" x14ac:dyDescent="0.2">
      <c r="B63" s="325">
        <f t="shared" si="1"/>
        <v>2013</v>
      </c>
      <c r="C63" s="394">
        <v>41334</v>
      </c>
      <c r="D63" s="395">
        <v>23681.559782</v>
      </c>
      <c r="E63" s="395">
        <v>9592.4834329999994</v>
      </c>
      <c r="F63" s="395"/>
      <c r="G63" s="395">
        <v>15129.817061</v>
      </c>
      <c r="H63" s="395">
        <v>1887.2893059999999</v>
      </c>
      <c r="I63" s="395">
        <v>0</v>
      </c>
      <c r="J63" s="395">
        <v>50291.149581999998</v>
      </c>
      <c r="K63" s="395">
        <v>9444.5755649999992</v>
      </c>
      <c r="L63" s="395">
        <v>6713.1311109999997</v>
      </c>
      <c r="M63" s="395"/>
      <c r="N63" s="395">
        <v>11135.083166</v>
      </c>
      <c r="O63" s="395">
        <v>1437.8777709999999</v>
      </c>
      <c r="P63" s="395">
        <v>0</v>
      </c>
      <c r="Q63" s="395">
        <v>28730.667613000001</v>
      </c>
      <c r="R63" s="395">
        <v>33126.135347000003</v>
      </c>
      <c r="S63" s="395">
        <v>16305.614544</v>
      </c>
      <c r="T63" s="395"/>
      <c r="U63" s="395">
        <v>26264.900226999998</v>
      </c>
      <c r="V63" s="395">
        <v>3325.1670770000001</v>
      </c>
      <c r="W63" s="396">
        <v>0</v>
      </c>
      <c r="X63" s="395">
        <v>79021.817194999996</v>
      </c>
      <c r="Y63" s="397"/>
      <c r="Z63" s="325">
        <f t="shared" si="2"/>
        <v>2013</v>
      </c>
      <c r="AA63" s="394">
        <v>41334</v>
      </c>
      <c r="AB63" s="398">
        <f>'AUX UF'!C62</f>
        <v>22857.279677419399</v>
      </c>
      <c r="AC63" s="325">
        <f t="shared" si="7"/>
        <v>1.4492597463260319</v>
      </c>
      <c r="AD63" s="325">
        <f t="shared" si="7"/>
        <v>0.71336636616947213</v>
      </c>
      <c r="AE63" s="325">
        <f t="shared" si="7"/>
        <v>0</v>
      </c>
      <c r="AF63" s="325">
        <f t="shared" si="6"/>
        <v>1.1490825066530981</v>
      </c>
      <c r="AG63" s="325">
        <f t="shared" si="6"/>
        <v>0.14547518882069405</v>
      </c>
      <c r="AH63" s="325">
        <f t="shared" si="6"/>
        <v>0</v>
      </c>
      <c r="AI63" s="325">
        <f t="shared" si="6"/>
        <v>3.4571838079692956</v>
      </c>
      <c r="AJ63" s="447">
        <f t="shared" si="4"/>
        <v>2.2002246239163092</v>
      </c>
      <c r="AK63" s="447">
        <f t="shared" si="5"/>
        <v>1.2569591840529866</v>
      </c>
    </row>
    <row r="64" spans="2:37" s="63" customFormat="1" ht="12.75" x14ac:dyDescent="0.2">
      <c r="B64" s="325">
        <f t="shared" si="1"/>
        <v>2013</v>
      </c>
      <c r="C64" s="394">
        <v>41365</v>
      </c>
      <c r="D64" s="395">
        <v>23712.734690000001</v>
      </c>
      <c r="E64" s="395">
        <v>9479.1535739999999</v>
      </c>
      <c r="F64" s="395"/>
      <c r="G64" s="395">
        <v>15261.790779999999</v>
      </c>
      <c r="H64" s="395">
        <v>1909.986928</v>
      </c>
      <c r="I64" s="395">
        <v>0</v>
      </c>
      <c r="J64" s="395">
        <v>50363.665972000003</v>
      </c>
      <c r="K64" s="395">
        <v>9466.5123380000005</v>
      </c>
      <c r="L64" s="395">
        <v>6662.8741170000003</v>
      </c>
      <c r="M64" s="395"/>
      <c r="N64" s="395">
        <v>11175.832334000001</v>
      </c>
      <c r="O64" s="395">
        <v>1456.4723469999999</v>
      </c>
      <c r="P64" s="395">
        <v>0</v>
      </c>
      <c r="Q64" s="395">
        <v>28761.691136000001</v>
      </c>
      <c r="R64" s="395">
        <v>33179.247027999998</v>
      </c>
      <c r="S64" s="395">
        <v>16142.027690999999</v>
      </c>
      <c r="T64" s="395"/>
      <c r="U64" s="395">
        <v>26437.623114000002</v>
      </c>
      <c r="V64" s="395">
        <v>3366.4592750000002</v>
      </c>
      <c r="W64" s="396">
        <v>0</v>
      </c>
      <c r="X64" s="395">
        <v>79125.357107999997</v>
      </c>
      <c r="Y64" s="397"/>
      <c r="Z64" s="325">
        <f t="shared" si="2"/>
        <v>2013</v>
      </c>
      <c r="AA64" s="394">
        <v>41365</v>
      </c>
      <c r="AB64" s="398">
        <f>'AUX UF'!C63</f>
        <v>22898.588</v>
      </c>
      <c r="AC64" s="325">
        <f t="shared" si="7"/>
        <v>1.4489647583510388</v>
      </c>
      <c r="AD64" s="325">
        <f t="shared" si="7"/>
        <v>0.704935504800558</v>
      </c>
      <c r="AE64" s="325">
        <f t="shared" si="7"/>
        <v>0</v>
      </c>
      <c r="AF64" s="325">
        <f t="shared" si="6"/>
        <v>1.1545525476942073</v>
      </c>
      <c r="AG64" s="325">
        <f t="shared" si="6"/>
        <v>0.14701602015809884</v>
      </c>
      <c r="AH64" s="325">
        <f t="shared" si="6"/>
        <v>0</v>
      </c>
      <c r="AI64" s="325">
        <f t="shared" si="6"/>
        <v>3.4554688310039028</v>
      </c>
      <c r="AJ64" s="447">
        <f t="shared" si="4"/>
        <v>2.1994223387049021</v>
      </c>
      <c r="AK64" s="447">
        <f t="shared" si="5"/>
        <v>1.2560464922990011</v>
      </c>
    </row>
    <row r="65" spans="2:37" s="63" customFormat="1" ht="12.75" x14ac:dyDescent="0.2">
      <c r="B65" s="325">
        <f t="shared" si="1"/>
        <v>2013</v>
      </c>
      <c r="C65" s="394">
        <v>41395</v>
      </c>
      <c r="D65" s="395">
        <v>23349.133922000001</v>
      </c>
      <c r="E65" s="395">
        <v>9449.0776060000007</v>
      </c>
      <c r="F65" s="395"/>
      <c r="G65" s="395">
        <v>15231.41418</v>
      </c>
      <c r="H65" s="395">
        <v>2045.4673789999999</v>
      </c>
      <c r="I65" s="395">
        <v>0</v>
      </c>
      <c r="J65" s="395">
        <v>50075.093087000001</v>
      </c>
      <c r="K65" s="395">
        <v>9313.5630170000004</v>
      </c>
      <c r="L65" s="395">
        <v>6642.7961230000001</v>
      </c>
      <c r="M65" s="395"/>
      <c r="N65" s="395">
        <v>11166.313655</v>
      </c>
      <c r="O65" s="395">
        <v>1576.561504</v>
      </c>
      <c r="P65" s="395">
        <v>0</v>
      </c>
      <c r="Q65" s="395">
        <v>28699.234299</v>
      </c>
      <c r="R65" s="395">
        <v>32662.696939000001</v>
      </c>
      <c r="S65" s="395">
        <v>16091.873729000001</v>
      </c>
      <c r="T65" s="395"/>
      <c r="U65" s="395">
        <v>26397.727835000002</v>
      </c>
      <c r="V65" s="395">
        <v>3622.028883</v>
      </c>
      <c r="W65" s="396">
        <v>0</v>
      </c>
      <c r="X65" s="395">
        <v>78774.327386000004</v>
      </c>
      <c r="Y65" s="397"/>
      <c r="Z65" s="325">
        <f t="shared" si="2"/>
        <v>2013</v>
      </c>
      <c r="AA65" s="394">
        <v>41395</v>
      </c>
      <c r="AB65" s="398">
        <f>'AUX UF'!C64</f>
        <v>22933.6912903226</v>
      </c>
      <c r="AC65" s="325">
        <f t="shared" si="7"/>
        <v>1.4242232759443649</v>
      </c>
      <c r="AD65" s="325">
        <f t="shared" si="7"/>
        <v>0.70166958843604643</v>
      </c>
      <c r="AE65" s="325">
        <f t="shared" si="7"/>
        <v>0</v>
      </c>
      <c r="AF65" s="325">
        <f t="shared" si="6"/>
        <v>1.1510457475347255</v>
      </c>
      <c r="AG65" s="325">
        <f t="shared" si="6"/>
        <v>0.15793484080464615</v>
      </c>
      <c r="AH65" s="325">
        <f t="shared" si="6"/>
        <v>0</v>
      </c>
      <c r="AI65" s="325">
        <f t="shared" si="6"/>
        <v>3.4348734527197831</v>
      </c>
      <c r="AJ65" s="447">
        <f t="shared" si="4"/>
        <v>2.183472885070636</v>
      </c>
      <c r="AK65" s="447">
        <f t="shared" si="5"/>
        <v>1.2514005676491469</v>
      </c>
    </row>
    <row r="66" spans="2:37" s="63" customFormat="1" ht="12.75" x14ac:dyDescent="0.2">
      <c r="B66" s="325">
        <f t="shared" si="1"/>
        <v>2013</v>
      </c>
      <c r="C66" s="394">
        <v>41426</v>
      </c>
      <c r="D66" s="395">
        <v>23321.256514000001</v>
      </c>
      <c r="E66" s="395">
        <v>9440.3503209999999</v>
      </c>
      <c r="F66" s="395"/>
      <c r="G66" s="395">
        <v>15283.216640000001</v>
      </c>
      <c r="H66" s="395">
        <v>2081.8015519999999</v>
      </c>
      <c r="I66" s="395">
        <v>0</v>
      </c>
      <c r="J66" s="395">
        <v>50126.625027000002</v>
      </c>
      <c r="K66" s="395">
        <v>9277.9669130000002</v>
      </c>
      <c r="L66" s="395">
        <v>6643.3068800000001</v>
      </c>
      <c r="M66" s="395"/>
      <c r="N66" s="395">
        <v>11208.0111</v>
      </c>
      <c r="O66" s="395">
        <v>1622.8850090000001</v>
      </c>
      <c r="P66" s="395">
        <v>0</v>
      </c>
      <c r="Q66" s="395">
        <v>28752.169902000001</v>
      </c>
      <c r="R66" s="395">
        <v>32599.223427000001</v>
      </c>
      <c r="S66" s="395">
        <v>16083.657201</v>
      </c>
      <c r="T66" s="395"/>
      <c r="U66" s="395">
        <v>26491.227739999998</v>
      </c>
      <c r="V66" s="395">
        <v>3704.686561</v>
      </c>
      <c r="W66" s="396">
        <v>0</v>
      </c>
      <c r="X66" s="395">
        <v>78878.794928999996</v>
      </c>
      <c r="Y66" s="397"/>
      <c r="Z66" s="325">
        <f t="shared" si="2"/>
        <v>2013</v>
      </c>
      <c r="AA66" s="394">
        <v>41426</v>
      </c>
      <c r="AB66" s="398">
        <f>'AUX UF'!C65</f>
        <v>22857.106666666699</v>
      </c>
      <c r="AC66" s="325">
        <f t="shared" si="7"/>
        <v>1.4262182831101962</v>
      </c>
      <c r="AD66" s="325">
        <f t="shared" si="7"/>
        <v>0.70366111667385034</v>
      </c>
      <c r="AE66" s="325">
        <f t="shared" si="7"/>
        <v>0</v>
      </c>
      <c r="AF66" s="325">
        <f t="shared" si="6"/>
        <v>1.1589930486973254</v>
      </c>
      <c r="AG66" s="325">
        <f t="shared" si="6"/>
        <v>0.16208029367088142</v>
      </c>
      <c r="AH66" s="325">
        <f t="shared" si="6"/>
        <v>0</v>
      </c>
      <c r="AI66" s="325">
        <f t="shared" si="6"/>
        <v>3.4509527421522534</v>
      </c>
      <c r="AJ66" s="447">
        <f t="shared" si="4"/>
        <v>2.1930433172498325</v>
      </c>
      <c r="AK66" s="447">
        <f t="shared" si="5"/>
        <v>1.257909424902421</v>
      </c>
    </row>
    <row r="67" spans="2:37" s="63" customFormat="1" ht="12.75" x14ac:dyDescent="0.2">
      <c r="B67" s="325">
        <f t="shared" si="1"/>
        <v>2013</v>
      </c>
      <c r="C67" s="394">
        <v>41456</v>
      </c>
      <c r="D67" s="395">
        <v>23516.711159999999</v>
      </c>
      <c r="E67" s="395">
        <v>9542.9224350000004</v>
      </c>
      <c r="F67" s="395"/>
      <c r="G67" s="395">
        <v>15640.3174</v>
      </c>
      <c r="H67" s="395">
        <v>2123.471783</v>
      </c>
      <c r="I67" s="395">
        <v>0</v>
      </c>
      <c r="J67" s="395">
        <v>50823.422778</v>
      </c>
      <c r="K67" s="395">
        <v>9309.6607679999997</v>
      </c>
      <c r="L67" s="395">
        <v>6721.6484200000004</v>
      </c>
      <c r="M67" s="395"/>
      <c r="N67" s="395">
        <v>11493.164507</v>
      </c>
      <c r="O67" s="395">
        <v>1649.866295</v>
      </c>
      <c r="P67" s="395">
        <v>0</v>
      </c>
      <c r="Q67" s="395">
        <v>29174.33999</v>
      </c>
      <c r="R67" s="395">
        <v>32826.371928</v>
      </c>
      <c r="S67" s="395">
        <v>16264.570855</v>
      </c>
      <c r="T67" s="395"/>
      <c r="U67" s="395">
        <v>27133.481907000001</v>
      </c>
      <c r="V67" s="395">
        <v>3773.3380780000002</v>
      </c>
      <c r="W67" s="396">
        <v>0</v>
      </c>
      <c r="X67" s="395">
        <v>79997.762768000001</v>
      </c>
      <c r="Y67" s="397"/>
      <c r="Z67" s="325">
        <f t="shared" si="2"/>
        <v>2013</v>
      </c>
      <c r="AA67" s="394">
        <v>41456</v>
      </c>
      <c r="AB67" s="398">
        <f>'AUX UF'!C66</f>
        <v>22888.712258064501</v>
      </c>
      <c r="AC67" s="325">
        <f t="shared" si="7"/>
        <v>1.4341729476910223</v>
      </c>
      <c r="AD67" s="325">
        <f t="shared" si="7"/>
        <v>0.71059353062859265</v>
      </c>
      <c r="AE67" s="325">
        <f t="shared" si="7"/>
        <v>0</v>
      </c>
      <c r="AF67" s="325">
        <f t="shared" si="6"/>
        <v>1.1854525322821479</v>
      </c>
      <c r="AG67" s="325">
        <f t="shared" si="6"/>
        <v>0.16485584839621198</v>
      </c>
      <c r="AH67" s="325">
        <f t="shared" si="6"/>
        <v>0</v>
      </c>
      <c r="AI67" s="325">
        <f t="shared" si="6"/>
        <v>3.4950748589979748</v>
      </c>
      <c r="AJ67" s="447">
        <f t="shared" si="4"/>
        <v>2.2204579359895233</v>
      </c>
      <c r="AK67" s="447">
        <f t="shared" si="5"/>
        <v>1.2746169230084514</v>
      </c>
    </row>
    <row r="68" spans="2:37" s="63" customFormat="1" ht="12.75" x14ac:dyDescent="0.2">
      <c r="B68" s="325">
        <f t="shared" si="1"/>
        <v>2013</v>
      </c>
      <c r="C68" s="394">
        <v>41487</v>
      </c>
      <c r="D68" s="395">
        <v>23606.504903000001</v>
      </c>
      <c r="E68" s="395">
        <v>9385.8355159999992</v>
      </c>
      <c r="F68" s="395"/>
      <c r="G68" s="395">
        <v>16056.738143</v>
      </c>
      <c r="H68" s="395">
        <v>2174.2399169999999</v>
      </c>
      <c r="I68" s="395">
        <v>0</v>
      </c>
      <c r="J68" s="395">
        <v>51223.318479000001</v>
      </c>
      <c r="K68" s="395">
        <v>9293.481135</v>
      </c>
      <c r="L68" s="395">
        <v>6623.273921</v>
      </c>
      <c r="M68" s="395"/>
      <c r="N68" s="395">
        <v>11811.438083999999</v>
      </c>
      <c r="O68" s="395">
        <v>1704.041082</v>
      </c>
      <c r="P68" s="395">
        <v>0</v>
      </c>
      <c r="Q68" s="395">
        <v>29432.234221999999</v>
      </c>
      <c r="R68" s="395">
        <v>32899.986038000003</v>
      </c>
      <c r="S68" s="395">
        <v>16009.109436999999</v>
      </c>
      <c r="T68" s="395"/>
      <c r="U68" s="395">
        <v>27868.176227</v>
      </c>
      <c r="V68" s="395">
        <v>3878.2809990000001</v>
      </c>
      <c r="W68" s="396">
        <v>0</v>
      </c>
      <c r="X68" s="395">
        <v>80655.552700999993</v>
      </c>
      <c r="Y68" s="397"/>
      <c r="Z68" s="325">
        <f t="shared" si="2"/>
        <v>2013</v>
      </c>
      <c r="AA68" s="394">
        <v>41487</v>
      </c>
      <c r="AB68" s="398">
        <f>'AUX UF'!C67</f>
        <v>23002.783548387099</v>
      </c>
      <c r="AC68" s="325">
        <f t="shared" si="7"/>
        <v>1.4302610798729563</v>
      </c>
      <c r="AD68" s="325">
        <f t="shared" si="7"/>
        <v>0.69596400815250559</v>
      </c>
      <c r="AE68" s="325">
        <f t="shared" si="7"/>
        <v>0</v>
      </c>
      <c r="AF68" s="325">
        <f t="shared" si="6"/>
        <v>1.2115132139716218</v>
      </c>
      <c r="AG68" s="325">
        <f t="shared" si="6"/>
        <v>0.16860050831856546</v>
      </c>
      <c r="AH68" s="325">
        <f t="shared" si="6"/>
        <v>0</v>
      </c>
      <c r="AI68" s="325">
        <f t="shared" si="6"/>
        <v>3.5063388103156488</v>
      </c>
      <c r="AJ68" s="447">
        <f t="shared" si="4"/>
        <v>2.2268313037528737</v>
      </c>
      <c r="AK68" s="447">
        <f t="shared" si="5"/>
        <v>1.279507506562775</v>
      </c>
    </row>
    <row r="69" spans="2:37" s="63" customFormat="1" ht="12.75" x14ac:dyDescent="0.2">
      <c r="B69" s="325">
        <f t="shared" si="1"/>
        <v>2013</v>
      </c>
      <c r="C69" s="394">
        <v>41518</v>
      </c>
      <c r="D69" s="395">
        <v>24419.698527</v>
      </c>
      <c r="E69" s="395">
        <v>9373.5476369999997</v>
      </c>
      <c r="F69" s="395"/>
      <c r="G69" s="395">
        <v>16424.761710999999</v>
      </c>
      <c r="H69" s="395">
        <v>2359.5183200000001</v>
      </c>
      <c r="I69" s="395">
        <v>0</v>
      </c>
      <c r="J69" s="395">
        <v>52577.526194999999</v>
      </c>
      <c r="K69" s="395">
        <v>9757.9555459999992</v>
      </c>
      <c r="L69" s="395">
        <v>6512.2269820000001</v>
      </c>
      <c r="M69" s="395"/>
      <c r="N69" s="395">
        <v>12125.554196999999</v>
      </c>
      <c r="O69" s="395">
        <v>1848.8956929999999</v>
      </c>
      <c r="P69" s="395">
        <v>0</v>
      </c>
      <c r="Q69" s="395">
        <v>30244.632418000001</v>
      </c>
      <c r="R69" s="395">
        <v>34177.654072999998</v>
      </c>
      <c r="S69" s="395">
        <v>15885.774619</v>
      </c>
      <c r="T69" s="395"/>
      <c r="U69" s="395">
        <v>28550.315908</v>
      </c>
      <c r="V69" s="395">
        <v>4208.4140129999996</v>
      </c>
      <c r="W69" s="396">
        <v>0</v>
      </c>
      <c r="X69" s="395">
        <v>82822.158613000007</v>
      </c>
      <c r="Y69" s="397"/>
      <c r="Z69" s="325">
        <f t="shared" si="2"/>
        <v>2013</v>
      </c>
      <c r="AA69" s="394">
        <v>41518</v>
      </c>
      <c r="AB69" s="398">
        <f>'AUX UF'!C68</f>
        <v>23067.9173333328</v>
      </c>
      <c r="AC69" s="325">
        <f t="shared" si="7"/>
        <v>1.4816098731034462</v>
      </c>
      <c r="AD69" s="325">
        <f t="shared" si="7"/>
        <v>0.68865231262318116</v>
      </c>
      <c r="AE69" s="325">
        <f t="shared" si="7"/>
        <v>0</v>
      </c>
      <c r="AF69" s="325">
        <f t="shared" si="6"/>
        <v>1.2376633527615957</v>
      </c>
      <c r="AG69" s="325">
        <f t="shared" si="6"/>
        <v>0.18243580259926212</v>
      </c>
      <c r="AH69" s="325">
        <f t="shared" si="6"/>
        <v>0</v>
      </c>
      <c r="AI69" s="325">
        <f t="shared" si="6"/>
        <v>3.5903613410874855</v>
      </c>
      <c r="AJ69" s="447">
        <f t="shared" si="4"/>
        <v>2.2792489428174885</v>
      </c>
      <c r="AK69" s="447">
        <f t="shared" si="5"/>
        <v>1.311112398269997</v>
      </c>
    </row>
    <row r="70" spans="2:37" s="63" customFormat="1" ht="12.75" x14ac:dyDescent="0.2">
      <c r="B70" s="325">
        <f t="shared" si="1"/>
        <v>2013</v>
      </c>
      <c r="C70" s="394">
        <v>41548</v>
      </c>
      <c r="D70" s="395">
        <v>23932.815301999999</v>
      </c>
      <c r="E70" s="395">
        <v>9263.1901849999995</v>
      </c>
      <c r="F70" s="395"/>
      <c r="G70" s="395">
        <v>16533.519283000001</v>
      </c>
      <c r="H70" s="395">
        <v>2516.1174559999999</v>
      </c>
      <c r="I70" s="395">
        <v>0</v>
      </c>
      <c r="J70" s="395">
        <v>52245.642226000004</v>
      </c>
      <c r="K70" s="395">
        <v>9410.7537809999994</v>
      </c>
      <c r="L70" s="395">
        <v>6443.2828319999999</v>
      </c>
      <c r="M70" s="395"/>
      <c r="N70" s="395">
        <v>12175.806493</v>
      </c>
      <c r="O70" s="395">
        <v>1928.986719</v>
      </c>
      <c r="P70" s="395">
        <v>0</v>
      </c>
      <c r="Q70" s="395">
        <v>29958.829825000001</v>
      </c>
      <c r="R70" s="395">
        <v>33343.569083000002</v>
      </c>
      <c r="S70" s="395">
        <v>15706.473017</v>
      </c>
      <c r="T70" s="395"/>
      <c r="U70" s="395">
        <v>28709.325776000001</v>
      </c>
      <c r="V70" s="395">
        <v>4445.1041750000004</v>
      </c>
      <c r="W70" s="396">
        <v>0</v>
      </c>
      <c r="X70" s="395">
        <v>82204.472051000004</v>
      </c>
      <c r="Y70" s="397"/>
      <c r="Z70" s="325">
        <f t="shared" si="2"/>
        <v>2013</v>
      </c>
      <c r="AA70" s="394">
        <v>41548</v>
      </c>
      <c r="AB70" s="398">
        <f>'AUX UF'!C69</f>
        <v>23133.467741935401</v>
      </c>
      <c r="AC70" s="325">
        <f t="shared" si="7"/>
        <v>1.4413562832413642</v>
      </c>
      <c r="AD70" s="325">
        <f t="shared" si="7"/>
        <v>0.67895022018371898</v>
      </c>
      <c r="AE70" s="325">
        <f t="shared" si="7"/>
        <v>0</v>
      </c>
      <c r="AF70" s="325">
        <f t="shared" si="6"/>
        <v>1.2410299266960705</v>
      </c>
      <c r="AG70" s="325">
        <f t="shared" si="6"/>
        <v>0.19215036087919055</v>
      </c>
      <c r="AH70" s="325">
        <f t="shared" si="6"/>
        <v>0</v>
      </c>
      <c r="AI70" s="325">
        <f t="shared" si="6"/>
        <v>3.5534867910003443</v>
      </c>
      <c r="AJ70" s="447">
        <f t="shared" si="4"/>
        <v>2.2584440347994712</v>
      </c>
      <c r="AK70" s="447">
        <f t="shared" si="5"/>
        <v>1.2950427562008726</v>
      </c>
    </row>
    <row r="71" spans="2:37" s="63" customFormat="1" ht="12.75" x14ac:dyDescent="0.2">
      <c r="B71" s="325">
        <f t="shared" si="1"/>
        <v>2013</v>
      </c>
      <c r="C71" s="394">
        <v>41579</v>
      </c>
      <c r="D71" s="395">
        <v>23981.533175</v>
      </c>
      <c r="E71" s="395">
        <v>9229.2790079999995</v>
      </c>
      <c r="F71" s="395"/>
      <c r="G71" s="395">
        <v>16747.936438000001</v>
      </c>
      <c r="H71" s="395">
        <v>2441.689977</v>
      </c>
      <c r="I71" s="395">
        <v>0</v>
      </c>
      <c r="J71" s="395">
        <v>52400.438598000001</v>
      </c>
      <c r="K71" s="395">
        <v>9380.3284930000009</v>
      </c>
      <c r="L71" s="395">
        <v>6397.8863520000004</v>
      </c>
      <c r="M71" s="395"/>
      <c r="N71" s="395">
        <v>12291.361639000001</v>
      </c>
      <c r="O71" s="395">
        <v>1904.563206</v>
      </c>
      <c r="P71" s="395">
        <v>0</v>
      </c>
      <c r="Q71" s="395">
        <v>29974.13969</v>
      </c>
      <c r="R71" s="395">
        <v>33361.861667999998</v>
      </c>
      <c r="S71" s="395">
        <v>15627.165360000001</v>
      </c>
      <c r="T71" s="395"/>
      <c r="U71" s="395">
        <v>29039.298076999999</v>
      </c>
      <c r="V71" s="395">
        <v>4346.2531829999998</v>
      </c>
      <c r="W71" s="396">
        <v>0</v>
      </c>
      <c r="X71" s="395">
        <v>82374.578288000004</v>
      </c>
      <c r="Y71" s="397"/>
      <c r="Z71" s="325">
        <f t="shared" si="2"/>
        <v>2013</v>
      </c>
      <c r="AA71" s="394">
        <v>41579</v>
      </c>
      <c r="AB71" s="398">
        <f>'AUX UF'!C70</f>
        <v>23221.8786666667</v>
      </c>
      <c r="AC71" s="325">
        <f t="shared" si="7"/>
        <v>1.4366564457116253</v>
      </c>
      <c r="AD71" s="325">
        <f t="shared" si="7"/>
        <v>0.67295009091713365</v>
      </c>
      <c r="AE71" s="325">
        <f t="shared" si="7"/>
        <v>0</v>
      </c>
      <c r="AF71" s="325">
        <f t="shared" si="6"/>
        <v>1.2505145898761316</v>
      </c>
      <c r="AG71" s="325">
        <f t="shared" si="6"/>
        <v>0.18716199689901605</v>
      </c>
      <c r="AH71" s="325">
        <f t="shared" si="6"/>
        <v>0</v>
      </c>
      <c r="AI71" s="325">
        <f t="shared" si="6"/>
        <v>3.5472831234039068</v>
      </c>
      <c r="AJ71" s="447">
        <f t="shared" si="4"/>
        <v>2.2565116005543935</v>
      </c>
      <c r="AK71" s="447">
        <f t="shared" si="5"/>
        <v>1.2907715228495131</v>
      </c>
    </row>
    <row r="72" spans="2:37" s="63" customFormat="1" ht="12.75" x14ac:dyDescent="0.2">
      <c r="B72" s="325">
        <f t="shared" ref="B72:B135" si="8">+YEAR(C72)</f>
        <v>2013</v>
      </c>
      <c r="C72" s="394">
        <v>41609</v>
      </c>
      <c r="D72" s="395">
        <v>24003.442306000001</v>
      </c>
      <c r="E72" s="395">
        <v>9110.5641799999994</v>
      </c>
      <c r="F72" s="395"/>
      <c r="G72" s="395">
        <v>16901.835812000001</v>
      </c>
      <c r="H72" s="395">
        <v>2443.6371389999999</v>
      </c>
      <c r="I72" s="395">
        <v>0</v>
      </c>
      <c r="J72" s="395">
        <v>52459.479437000002</v>
      </c>
      <c r="K72" s="395">
        <v>9348.8273989999998</v>
      </c>
      <c r="L72" s="395">
        <v>6321.4319169999999</v>
      </c>
      <c r="M72" s="395"/>
      <c r="N72" s="395">
        <v>12384.592756</v>
      </c>
      <c r="O72" s="395">
        <v>1921.1084659999999</v>
      </c>
      <c r="P72" s="395">
        <v>0</v>
      </c>
      <c r="Q72" s="395">
        <v>29975.960537999999</v>
      </c>
      <c r="R72" s="395">
        <v>33352.269704999999</v>
      </c>
      <c r="S72" s="395">
        <v>15431.996096999999</v>
      </c>
      <c r="T72" s="395"/>
      <c r="U72" s="395">
        <v>29286.428567999999</v>
      </c>
      <c r="V72" s="395">
        <v>4364.7456050000001</v>
      </c>
      <c r="W72" s="396">
        <v>0</v>
      </c>
      <c r="X72" s="395">
        <v>82435.439975000001</v>
      </c>
      <c r="Y72" s="397"/>
      <c r="Z72" s="325">
        <f t="shared" ref="Z72:Z135" si="9">+YEAR(AA72)</f>
        <v>2013</v>
      </c>
      <c r="AA72" s="394">
        <v>41609</v>
      </c>
      <c r="AB72" s="398">
        <f>'AUX UF'!C71</f>
        <v>23267.172580645201</v>
      </c>
      <c r="AC72" s="325">
        <f t="shared" si="7"/>
        <v>1.4334474715137535</v>
      </c>
      <c r="AD72" s="325">
        <f t="shared" si="7"/>
        <v>0.66325188604296104</v>
      </c>
      <c r="AE72" s="325">
        <f t="shared" si="7"/>
        <v>0</v>
      </c>
      <c r="AF72" s="325">
        <f t="shared" si="6"/>
        <v>1.2587016521449588</v>
      </c>
      <c r="AG72" s="325">
        <f t="shared" si="6"/>
        <v>0.18759243693541061</v>
      </c>
      <c r="AH72" s="325">
        <f t="shared" si="6"/>
        <v>0</v>
      </c>
      <c r="AI72" s="325">
        <f t="shared" si="6"/>
        <v>3.5429934466370843</v>
      </c>
      <c r="AJ72" s="447">
        <f t="shared" ref="AJ72:AJ135" si="10">J72/$AB72</f>
        <v>2.2546563943329505</v>
      </c>
      <c r="AK72" s="447">
        <f t="shared" ref="AK72:AK135" si="11">Q72/$AB72</f>
        <v>1.2883370523041335</v>
      </c>
    </row>
    <row r="73" spans="2:37" s="63" customFormat="1" ht="12.75" x14ac:dyDescent="0.2">
      <c r="B73" s="325">
        <f t="shared" si="8"/>
        <v>2014</v>
      </c>
      <c r="C73" s="394">
        <v>41640</v>
      </c>
      <c r="D73" s="395">
        <v>23893.249675999999</v>
      </c>
      <c r="E73" s="395">
        <v>9277.1574710000004</v>
      </c>
      <c r="F73" s="395"/>
      <c r="G73" s="395">
        <v>17017.659095999999</v>
      </c>
      <c r="H73" s="395">
        <v>2491.7013750000001</v>
      </c>
      <c r="I73" s="395">
        <v>0</v>
      </c>
      <c r="J73" s="395">
        <v>52679.767617999998</v>
      </c>
      <c r="K73" s="395">
        <v>9245.2373050000006</v>
      </c>
      <c r="L73" s="395">
        <v>6451.920325</v>
      </c>
      <c r="M73" s="395"/>
      <c r="N73" s="395">
        <v>12425.191924999999</v>
      </c>
      <c r="O73" s="395">
        <v>1967.140496</v>
      </c>
      <c r="P73" s="395">
        <v>0</v>
      </c>
      <c r="Q73" s="395">
        <v>30089.490051000001</v>
      </c>
      <c r="R73" s="395">
        <v>33138.486981000002</v>
      </c>
      <c r="S73" s="395">
        <v>15729.077796</v>
      </c>
      <c r="T73" s="395"/>
      <c r="U73" s="395">
        <v>29442.851020999999</v>
      </c>
      <c r="V73" s="395">
        <v>4458.8418709999996</v>
      </c>
      <c r="W73" s="396">
        <v>0</v>
      </c>
      <c r="X73" s="395">
        <v>82769.257668999999</v>
      </c>
      <c r="Y73" s="397"/>
      <c r="Z73" s="325">
        <f t="shared" si="9"/>
        <v>2014</v>
      </c>
      <c r="AA73" s="394">
        <v>41640</v>
      </c>
      <c r="AB73" s="398">
        <f>'AUX UF'!C72</f>
        <v>23369.908064516101</v>
      </c>
      <c r="AC73" s="325">
        <f t="shared" si="7"/>
        <v>1.4179981748116548</v>
      </c>
      <c r="AD73" s="325">
        <f t="shared" si="7"/>
        <v>0.67304833859754798</v>
      </c>
      <c r="AE73" s="325">
        <f t="shared" si="7"/>
        <v>0</v>
      </c>
      <c r="AF73" s="325">
        <f t="shared" si="6"/>
        <v>1.2598616537009319</v>
      </c>
      <c r="AG73" s="325">
        <f t="shared" si="6"/>
        <v>0.1907941554023535</v>
      </c>
      <c r="AH73" s="325">
        <f t="shared" si="6"/>
        <v>0</v>
      </c>
      <c r="AI73" s="325">
        <f t="shared" si="6"/>
        <v>3.5417023225124882</v>
      </c>
      <c r="AJ73" s="447">
        <f t="shared" si="10"/>
        <v>2.2541709395077496</v>
      </c>
      <c r="AK73" s="447">
        <f t="shared" si="11"/>
        <v>1.2875313830047381</v>
      </c>
    </row>
    <row r="74" spans="2:37" s="63" customFormat="1" ht="12.75" x14ac:dyDescent="0.2">
      <c r="B74" s="325">
        <f t="shared" si="8"/>
        <v>2014</v>
      </c>
      <c r="C74" s="394">
        <v>41671</v>
      </c>
      <c r="D74" s="395">
        <v>23705.404308000001</v>
      </c>
      <c r="E74" s="395">
        <v>9117.4860829999998</v>
      </c>
      <c r="F74" s="395"/>
      <c r="G74" s="395">
        <v>16889.411189999999</v>
      </c>
      <c r="H74" s="395">
        <v>2646.2179190000002</v>
      </c>
      <c r="I74" s="395">
        <v>0</v>
      </c>
      <c r="J74" s="395">
        <v>52358.519500000002</v>
      </c>
      <c r="K74" s="395">
        <v>9217.2719230000002</v>
      </c>
      <c r="L74" s="395">
        <v>6289.9767590000001</v>
      </c>
      <c r="M74" s="395"/>
      <c r="N74" s="395">
        <v>12407.675955000001</v>
      </c>
      <c r="O74" s="395">
        <v>2087.7227160000002</v>
      </c>
      <c r="P74" s="395">
        <v>0</v>
      </c>
      <c r="Q74" s="395">
        <v>30002.647353</v>
      </c>
      <c r="R74" s="395">
        <v>32922.676230999998</v>
      </c>
      <c r="S74" s="395">
        <v>15407.462842000001</v>
      </c>
      <c r="T74" s="395"/>
      <c r="U74" s="395">
        <v>29297.087145000001</v>
      </c>
      <c r="V74" s="395">
        <v>4733.9406349999999</v>
      </c>
      <c r="W74" s="396">
        <v>0</v>
      </c>
      <c r="X74" s="395">
        <v>82361.166853000002</v>
      </c>
      <c r="Y74" s="397"/>
      <c r="Z74" s="325">
        <f t="shared" si="9"/>
        <v>2014</v>
      </c>
      <c r="AA74" s="394">
        <v>41671</v>
      </c>
      <c r="AB74" s="398">
        <f>'AUX UF'!C73</f>
        <v>23482.161428571399</v>
      </c>
      <c r="AC74" s="325">
        <f t="shared" si="7"/>
        <v>1.4020292097533262</v>
      </c>
      <c r="AD74" s="325">
        <f t="shared" si="7"/>
        <v>0.65613478081507914</v>
      </c>
      <c r="AE74" s="325">
        <f t="shared" si="7"/>
        <v>0</v>
      </c>
      <c r="AF74" s="325">
        <f t="shared" si="6"/>
        <v>1.2476316217362096</v>
      </c>
      <c r="AG74" s="325">
        <f t="shared" si="6"/>
        <v>0.20159731247056681</v>
      </c>
      <c r="AH74" s="325">
        <f t="shared" si="6"/>
        <v>0</v>
      </c>
      <c r="AI74" s="325">
        <f t="shared" si="6"/>
        <v>3.5073929247751821</v>
      </c>
      <c r="AJ74" s="447">
        <f t="shared" si="10"/>
        <v>2.2297146563473471</v>
      </c>
      <c r="AK74" s="447">
        <f t="shared" si="11"/>
        <v>1.2776782684278349</v>
      </c>
    </row>
    <row r="75" spans="2:37" s="63" customFormat="1" ht="12.75" x14ac:dyDescent="0.2">
      <c r="B75" s="325">
        <f t="shared" si="8"/>
        <v>2014</v>
      </c>
      <c r="C75" s="394">
        <v>41699</v>
      </c>
      <c r="D75" s="395">
        <v>23800.129353</v>
      </c>
      <c r="E75" s="395">
        <v>9205.2797399999999</v>
      </c>
      <c r="F75" s="395"/>
      <c r="G75" s="395">
        <v>17010.565615</v>
      </c>
      <c r="H75" s="395">
        <v>2667.6643509999999</v>
      </c>
      <c r="I75" s="395">
        <v>0</v>
      </c>
      <c r="J75" s="395">
        <v>52683.639059000001</v>
      </c>
      <c r="K75" s="395">
        <v>9226.3291910000007</v>
      </c>
      <c r="L75" s="395">
        <v>6372.8150690000002</v>
      </c>
      <c r="M75" s="395"/>
      <c r="N75" s="395">
        <v>12491.475307000001</v>
      </c>
      <c r="O75" s="395">
        <v>2094.0604880000001</v>
      </c>
      <c r="P75" s="395">
        <v>0</v>
      </c>
      <c r="Q75" s="395">
        <v>30184.680055000001</v>
      </c>
      <c r="R75" s="395">
        <v>33026.458544000001</v>
      </c>
      <c r="S75" s="395">
        <v>15578.094809</v>
      </c>
      <c r="T75" s="395"/>
      <c r="U75" s="395">
        <v>29502.040922</v>
      </c>
      <c r="V75" s="395">
        <v>4761.7248390000004</v>
      </c>
      <c r="W75" s="396">
        <v>0</v>
      </c>
      <c r="X75" s="395">
        <v>82868.319113999998</v>
      </c>
      <c r="Y75" s="397"/>
      <c r="Z75" s="325">
        <f t="shared" si="9"/>
        <v>2014</v>
      </c>
      <c r="AA75" s="394">
        <v>41699</v>
      </c>
      <c r="AB75" s="398">
        <f>'AUX UF'!C74</f>
        <v>23552.537419354801</v>
      </c>
      <c r="AC75" s="325">
        <f t="shared" si="7"/>
        <v>1.4022463039103295</v>
      </c>
      <c r="AD75" s="325">
        <f t="shared" si="7"/>
        <v>0.66141896015833812</v>
      </c>
      <c r="AE75" s="325">
        <f t="shared" si="7"/>
        <v>0</v>
      </c>
      <c r="AF75" s="325">
        <f t="shared" si="6"/>
        <v>1.2526056278656441</v>
      </c>
      <c r="AG75" s="325">
        <f t="shared" si="6"/>
        <v>0.2021746003081159</v>
      </c>
      <c r="AH75" s="325">
        <f t="shared" si="6"/>
        <v>0</v>
      </c>
      <c r="AI75" s="325">
        <f t="shared" si="6"/>
        <v>3.5184454922424275</v>
      </c>
      <c r="AJ75" s="447">
        <f t="shared" si="10"/>
        <v>2.2368561875505648</v>
      </c>
      <c r="AK75" s="447">
        <f t="shared" si="11"/>
        <v>1.2815893046918627</v>
      </c>
    </row>
    <row r="76" spans="2:37" s="63" customFormat="1" ht="12.75" x14ac:dyDescent="0.2">
      <c r="B76" s="325">
        <f t="shared" si="8"/>
        <v>2014</v>
      </c>
      <c r="C76" s="394">
        <v>41730</v>
      </c>
      <c r="D76" s="395">
        <v>23832.959578999998</v>
      </c>
      <c r="E76" s="395">
        <v>9173.1758360000003</v>
      </c>
      <c r="F76" s="395"/>
      <c r="G76" s="395">
        <v>17049.109342</v>
      </c>
      <c r="H76" s="395">
        <v>2612.7287839999999</v>
      </c>
      <c r="I76" s="395">
        <v>0</v>
      </c>
      <c r="J76" s="395">
        <v>52667.973540999999</v>
      </c>
      <c r="K76" s="395">
        <v>9235.5658949999997</v>
      </c>
      <c r="L76" s="395">
        <v>6263.2811170000004</v>
      </c>
      <c r="M76" s="395"/>
      <c r="N76" s="395">
        <v>12560.923930999999</v>
      </c>
      <c r="O76" s="395">
        <v>2062.958971</v>
      </c>
      <c r="P76" s="395">
        <v>0</v>
      </c>
      <c r="Q76" s="395">
        <v>30122.729914</v>
      </c>
      <c r="R76" s="395">
        <v>33068.525474000002</v>
      </c>
      <c r="S76" s="395">
        <v>15436.456953000001</v>
      </c>
      <c r="T76" s="395"/>
      <c r="U76" s="395">
        <v>29610.033273000001</v>
      </c>
      <c r="V76" s="395">
        <v>4675.6877549999999</v>
      </c>
      <c r="W76" s="396">
        <v>0</v>
      </c>
      <c r="X76" s="395">
        <v>82790.703454999995</v>
      </c>
      <c r="Y76" s="397"/>
      <c r="Z76" s="325">
        <f t="shared" si="9"/>
        <v>2014</v>
      </c>
      <c r="AA76" s="394">
        <v>41730</v>
      </c>
      <c r="AB76" s="398">
        <f>'AUX UF'!C75</f>
        <v>23685.060333333298</v>
      </c>
      <c r="AC76" s="325">
        <f t="shared" si="7"/>
        <v>1.3961765352761559</v>
      </c>
      <c r="AD76" s="325">
        <f t="shared" si="7"/>
        <v>0.65173813094642696</v>
      </c>
      <c r="AE76" s="325">
        <f t="shared" si="7"/>
        <v>0</v>
      </c>
      <c r="AF76" s="325">
        <f t="shared" si="6"/>
        <v>1.2501565483170063</v>
      </c>
      <c r="AG76" s="325">
        <f t="shared" si="6"/>
        <v>0.19741084418601398</v>
      </c>
      <c r="AH76" s="325">
        <f t="shared" si="6"/>
        <v>0</v>
      </c>
      <c r="AI76" s="325">
        <f t="shared" si="6"/>
        <v>3.495482058725603</v>
      </c>
      <c r="AJ76" s="447">
        <f t="shared" si="10"/>
        <v>2.2236790955891061</v>
      </c>
      <c r="AK76" s="447">
        <f t="shared" si="11"/>
        <v>1.2718029631364971</v>
      </c>
    </row>
    <row r="77" spans="2:37" s="63" customFormat="1" ht="12.75" x14ac:dyDescent="0.2">
      <c r="B77" s="325">
        <f t="shared" si="8"/>
        <v>2014</v>
      </c>
      <c r="C77" s="394">
        <v>41760</v>
      </c>
      <c r="D77" s="395">
        <v>23880.144901</v>
      </c>
      <c r="E77" s="395">
        <v>9089.1619059999994</v>
      </c>
      <c r="F77" s="395"/>
      <c r="G77" s="395">
        <v>17198.754387000001</v>
      </c>
      <c r="H77" s="395">
        <v>2631.8935540000002</v>
      </c>
      <c r="I77" s="395">
        <v>0</v>
      </c>
      <c r="J77" s="395">
        <v>52799.954747999996</v>
      </c>
      <c r="K77" s="395">
        <v>9237.7249670000001</v>
      </c>
      <c r="L77" s="395">
        <v>6282.4379369999997</v>
      </c>
      <c r="M77" s="395"/>
      <c r="N77" s="395">
        <v>12637.621504999999</v>
      </c>
      <c r="O77" s="395">
        <v>2074.0130469999999</v>
      </c>
      <c r="P77" s="395">
        <v>0</v>
      </c>
      <c r="Q77" s="395">
        <v>30231.797456</v>
      </c>
      <c r="R77" s="395">
        <v>33117.869868000002</v>
      </c>
      <c r="S77" s="395">
        <v>15371.599843</v>
      </c>
      <c r="T77" s="395"/>
      <c r="U77" s="395">
        <v>29836.375892</v>
      </c>
      <c r="V77" s="395">
        <v>4705.9066009999997</v>
      </c>
      <c r="W77" s="396">
        <v>0</v>
      </c>
      <c r="X77" s="395">
        <v>83031.752204000004</v>
      </c>
      <c r="Y77" s="397"/>
      <c r="Z77" s="325">
        <f t="shared" si="9"/>
        <v>2014</v>
      </c>
      <c r="AA77" s="394">
        <v>41760</v>
      </c>
      <c r="AB77" s="398">
        <f>'AUX UF'!C76</f>
        <v>23860.5496774194</v>
      </c>
      <c r="AC77" s="325">
        <f t="shared" si="7"/>
        <v>1.3879759819339508</v>
      </c>
      <c r="AD77" s="325">
        <f t="shared" si="7"/>
        <v>0.64422656019307978</v>
      </c>
      <c r="AE77" s="325">
        <f t="shared" si="7"/>
        <v>0</v>
      </c>
      <c r="AF77" s="325">
        <f t="shared" si="6"/>
        <v>1.2504479693624102</v>
      </c>
      <c r="AG77" s="325">
        <f t="shared" si="6"/>
        <v>0.1972254061461739</v>
      </c>
      <c r="AH77" s="325">
        <f t="shared" si="6"/>
        <v>0</v>
      </c>
      <c r="AI77" s="325">
        <f t="shared" si="6"/>
        <v>3.4798759176356149</v>
      </c>
      <c r="AJ77" s="447">
        <f t="shared" si="10"/>
        <v>2.2128557582211781</v>
      </c>
      <c r="AK77" s="447">
        <f t="shared" si="11"/>
        <v>1.2670201594144361</v>
      </c>
    </row>
    <row r="78" spans="2:37" s="63" customFormat="1" ht="12.75" x14ac:dyDescent="0.2">
      <c r="B78" s="325">
        <f t="shared" si="8"/>
        <v>2014</v>
      </c>
      <c r="C78" s="394">
        <v>41791</v>
      </c>
      <c r="D78" s="395">
        <v>24122.680604000001</v>
      </c>
      <c r="E78" s="395">
        <v>9143.2273260000002</v>
      </c>
      <c r="F78" s="395"/>
      <c r="G78" s="395">
        <v>17558.967080999999</v>
      </c>
      <c r="H78" s="395">
        <v>2689.8593620000001</v>
      </c>
      <c r="I78" s="395">
        <v>0</v>
      </c>
      <c r="J78" s="395">
        <v>53514.734372999999</v>
      </c>
      <c r="K78" s="395">
        <v>9294.4136569999991</v>
      </c>
      <c r="L78" s="395">
        <v>6374.8036970000003</v>
      </c>
      <c r="M78" s="395"/>
      <c r="N78" s="395">
        <v>12939.953055</v>
      </c>
      <c r="O78" s="395">
        <v>2098.7543569999998</v>
      </c>
      <c r="P78" s="395">
        <v>0</v>
      </c>
      <c r="Q78" s="395">
        <v>30707.924766</v>
      </c>
      <c r="R78" s="395">
        <v>33417.094260999998</v>
      </c>
      <c r="S78" s="395">
        <v>15518.031023</v>
      </c>
      <c r="T78" s="395"/>
      <c r="U78" s="395">
        <v>30498.920136000001</v>
      </c>
      <c r="V78" s="395">
        <v>4788.6137189999999</v>
      </c>
      <c r="W78" s="396">
        <v>0</v>
      </c>
      <c r="X78" s="395">
        <v>84222.659138999996</v>
      </c>
      <c r="Y78" s="397"/>
      <c r="Z78" s="325">
        <f t="shared" si="9"/>
        <v>2014</v>
      </c>
      <c r="AA78" s="394">
        <v>41791</v>
      </c>
      <c r="AB78" s="398">
        <f>'AUX UF'!C77</f>
        <v>23986.187000000002</v>
      </c>
      <c r="AC78" s="325">
        <f t="shared" si="7"/>
        <v>1.3931807611188889</v>
      </c>
      <c r="AD78" s="325">
        <f t="shared" si="7"/>
        <v>0.6469569766549389</v>
      </c>
      <c r="AE78" s="325">
        <f t="shared" si="7"/>
        <v>0</v>
      </c>
      <c r="AF78" s="325">
        <f t="shared" si="6"/>
        <v>1.2715201518273829</v>
      </c>
      <c r="AG78" s="325">
        <f t="shared" si="6"/>
        <v>0.19964047303558499</v>
      </c>
      <c r="AH78" s="325">
        <f t="shared" si="6"/>
        <v>0</v>
      </c>
      <c r="AI78" s="325">
        <f t="shared" si="6"/>
        <v>3.5112983626367953</v>
      </c>
      <c r="AJ78" s="447">
        <f t="shared" si="10"/>
        <v>2.2310646695533558</v>
      </c>
      <c r="AK78" s="447">
        <f t="shared" si="11"/>
        <v>1.2802336930834399</v>
      </c>
    </row>
    <row r="79" spans="2:37" s="63" customFormat="1" ht="12.75" x14ac:dyDescent="0.2">
      <c r="B79" s="325">
        <f t="shared" si="8"/>
        <v>2014</v>
      </c>
      <c r="C79" s="394">
        <v>41821</v>
      </c>
      <c r="D79" s="395">
        <v>25169.576538000001</v>
      </c>
      <c r="E79" s="395">
        <v>9448.8464019999992</v>
      </c>
      <c r="F79" s="395"/>
      <c r="G79" s="395">
        <v>18031.541399000002</v>
      </c>
      <c r="H79" s="395">
        <v>2881.665078</v>
      </c>
      <c r="I79" s="395">
        <v>0</v>
      </c>
      <c r="J79" s="395">
        <v>55531.629416999996</v>
      </c>
      <c r="K79" s="395">
        <v>9690.0258749999994</v>
      </c>
      <c r="L79" s="395">
        <v>6492.0311769999998</v>
      </c>
      <c r="M79" s="395"/>
      <c r="N79" s="395">
        <v>13544.605573000001</v>
      </c>
      <c r="O79" s="395">
        <v>2294.137835</v>
      </c>
      <c r="P79" s="395">
        <v>0</v>
      </c>
      <c r="Q79" s="395">
        <v>32020.800459999999</v>
      </c>
      <c r="R79" s="395">
        <v>34859.602413000001</v>
      </c>
      <c r="S79" s="395">
        <v>15940.877579</v>
      </c>
      <c r="T79" s="395"/>
      <c r="U79" s="395">
        <v>31576.146971999999</v>
      </c>
      <c r="V79" s="395">
        <v>5175.8029130000004</v>
      </c>
      <c r="W79" s="396">
        <v>0</v>
      </c>
      <c r="X79" s="395">
        <v>87552.429877000002</v>
      </c>
      <c r="Y79" s="397"/>
      <c r="Z79" s="325">
        <f t="shared" si="9"/>
        <v>2014</v>
      </c>
      <c r="AA79" s="394">
        <v>41821</v>
      </c>
      <c r="AB79" s="398">
        <f>'AUX UF'!C78</f>
        <v>24048.751612903201</v>
      </c>
      <c r="AC79" s="325">
        <f t="shared" si="7"/>
        <v>1.4495389604463422</v>
      </c>
      <c r="AD79" s="325">
        <f t="shared" si="7"/>
        <v>0.66285676011752004</v>
      </c>
      <c r="AE79" s="325">
        <f t="shared" si="7"/>
        <v>0</v>
      </c>
      <c r="AF79" s="325">
        <f t="shared" si="6"/>
        <v>1.3130056595144848</v>
      </c>
      <c r="AG79" s="325">
        <f t="shared" si="6"/>
        <v>0.21522127203571587</v>
      </c>
      <c r="AH79" s="325">
        <f t="shared" si="6"/>
        <v>0</v>
      </c>
      <c r="AI79" s="325">
        <f t="shared" si="6"/>
        <v>3.6406226521140632</v>
      </c>
      <c r="AJ79" s="447">
        <f t="shared" si="10"/>
        <v>2.3091273223182553</v>
      </c>
      <c r="AK79" s="447">
        <f t="shared" si="11"/>
        <v>1.3314953297958072</v>
      </c>
    </row>
    <row r="80" spans="2:37" s="63" customFormat="1" ht="12.75" x14ac:dyDescent="0.2">
      <c r="B80" s="325">
        <f t="shared" si="8"/>
        <v>2014</v>
      </c>
      <c r="C80" s="394">
        <v>41852</v>
      </c>
      <c r="D80" s="395">
        <v>25103.368823000001</v>
      </c>
      <c r="E80" s="395">
        <v>9384.6033769999995</v>
      </c>
      <c r="F80" s="395"/>
      <c r="G80" s="395">
        <v>19014.906999999999</v>
      </c>
      <c r="H80" s="395">
        <v>2870.4286050000001</v>
      </c>
      <c r="I80" s="395">
        <v>0</v>
      </c>
      <c r="J80" s="395">
        <v>56373.307804999997</v>
      </c>
      <c r="K80" s="395">
        <v>9648.6504459999996</v>
      </c>
      <c r="L80" s="395">
        <v>6488.7513939999999</v>
      </c>
      <c r="M80" s="395"/>
      <c r="N80" s="395">
        <v>13943.406602999999</v>
      </c>
      <c r="O80" s="395">
        <v>2301.3993380000002</v>
      </c>
      <c r="P80" s="395">
        <v>0</v>
      </c>
      <c r="Q80" s="395">
        <v>32382.207781000001</v>
      </c>
      <c r="R80" s="395">
        <v>34752.019268999997</v>
      </c>
      <c r="S80" s="395">
        <v>15873.354771</v>
      </c>
      <c r="T80" s="395"/>
      <c r="U80" s="395">
        <v>32958.313603000002</v>
      </c>
      <c r="V80" s="395">
        <v>5171.8279430000002</v>
      </c>
      <c r="W80" s="396">
        <v>0</v>
      </c>
      <c r="X80" s="395">
        <v>88755.515585999994</v>
      </c>
      <c r="Y80" s="397"/>
      <c r="Z80" s="325">
        <f t="shared" si="9"/>
        <v>2014</v>
      </c>
      <c r="AA80" s="394">
        <v>41852</v>
      </c>
      <c r="AB80" s="398">
        <f>'AUX UF'!C79</f>
        <v>24081.024516129</v>
      </c>
      <c r="AC80" s="325">
        <f t="shared" si="7"/>
        <v>1.4431287691154409</v>
      </c>
      <c r="AD80" s="325">
        <f t="shared" si="7"/>
        <v>0.65916442883766579</v>
      </c>
      <c r="AE80" s="325">
        <f t="shared" si="7"/>
        <v>0</v>
      </c>
      <c r="AF80" s="325">
        <f t="shared" si="6"/>
        <v>1.3686425002775595</v>
      </c>
      <c r="AG80" s="325">
        <f t="shared" si="6"/>
        <v>0.2147677703469805</v>
      </c>
      <c r="AH80" s="325">
        <f t="shared" si="6"/>
        <v>0</v>
      </c>
      <c r="AI80" s="325">
        <f t="shared" si="6"/>
        <v>3.6857034685776462</v>
      </c>
      <c r="AJ80" s="447">
        <f t="shared" si="10"/>
        <v>2.3409846108184582</v>
      </c>
      <c r="AK80" s="447">
        <f t="shared" si="11"/>
        <v>1.3447188577591884</v>
      </c>
    </row>
    <row r="81" spans="2:37" s="63" customFormat="1" ht="12.75" x14ac:dyDescent="0.2">
      <c r="B81" s="325">
        <f t="shared" si="8"/>
        <v>2014</v>
      </c>
      <c r="C81" s="394">
        <v>41883</v>
      </c>
      <c r="D81" s="395">
        <v>25131.917138000001</v>
      </c>
      <c r="E81" s="395">
        <v>9455.6795039999997</v>
      </c>
      <c r="F81" s="395"/>
      <c r="G81" s="395">
        <v>19280.307315999999</v>
      </c>
      <c r="H81" s="395">
        <v>2849.2029950000001</v>
      </c>
      <c r="I81" s="395">
        <v>0</v>
      </c>
      <c r="J81" s="395">
        <v>56717.106953000002</v>
      </c>
      <c r="K81" s="395">
        <v>9637.5602870000002</v>
      </c>
      <c r="L81" s="395">
        <v>6503.2640060000003</v>
      </c>
      <c r="M81" s="395"/>
      <c r="N81" s="395">
        <v>14087.387029</v>
      </c>
      <c r="O81" s="395">
        <v>2277.7110130000001</v>
      </c>
      <c r="P81" s="395">
        <v>0</v>
      </c>
      <c r="Q81" s="395">
        <v>32505.922334999999</v>
      </c>
      <c r="R81" s="395">
        <v>34769.477424999997</v>
      </c>
      <c r="S81" s="395">
        <v>15958.943509999999</v>
      </c>
      <c r="T81" s="395"/>
      <c r="U81" s="395">
        <v>33367.694345000004</v>
      </c>
      <c r="V81" s="395">
        <v>5126.9140079999997</v>
      </c>
      <c r="W81" s="396">
        <v>0</v>
      </c>
      <c r="X81" s="395">
        <v>89223.029288000005</v>
      </c>
      <c r="Y81" s="397"/>
      <c r="Z81" s="325">
        <f t="shared" si="9"/>
        <v>2014</v>
      </c>
      <c r="AA81" s="394">
        <v>41883</v>
      </c>
      <c r="AB81" s="398">
        <f>'AUX UF'!C80</f>
        <v>24134.09</v>
      </c>
      <c r="AC81" s="325">
        <f t="shared" si="7"/>
        <v>1.4406790322320004</v>
      </c>
      <c r="AD81" s="325">
        <f t="shared" si="7"/>
        <v>0.66126145671951997</v>
      </c>
      <c r="AE81" s="325">
        <f t="shared" si="7"/>
        <v>0</v>
      </c>
      <c r="AF81" s="325">
        <f t="shared" si="6"/>
        <v>1.3825959190920396</v>
      </c>
      <c r="AG81" s="325">
        <f t="shared" si="6"/>
        <v>0.21243452759146916</v>
      </c>
      <c r="AH81" s="325">
        <f t="shared" si="6"/>
        <v>0</v>
      </c>
      <c r="AI81" s="325">
        <f t="shared" si="6"/>
        <v>3.6969709356350293</v>
      </c>
      <c r="AJ81" s="447">
        <f t="shared" si="10"/>
        <v>2.3500826819241993</v>
      </c>
      <c r="AK81" s="447">
        <f t="shared" si="11"/>
        <v>1.3468882537108298</v>
      </c>
    </row>
    <row r="82" spans="2:37" s="63" customFormat="1" ht="12.75" x14ac:dyDescent="0.2">
      <c r="B82" s="325">
        <f t="shared" si="8"/>
        <v>2014</v>
      </c>
      <c r="C82" s="394">
        <v>41913</v>
      </c>
      <c r="D82" s="395">
        <v>25115.561541999999</v>
      </c>
      <c r="E82" s="395">
        <v>9414.7675120000004</v>
      </c>
      <c r="F82" s="395"/>
      <c r="G82" s="395">
        <v>19431.06914</v>
      </c>
      <c r="H82" s="395">
        <v>2862.8642850000001</v>
      </c>
      <c r="I82" s="395">
        <v>0</v>
      </c>
      <c r="J82" s="395">
        <v>56824.262478999997</v>
      </c>
      <c r="K82" s="395">
        <v>9625.0319729999992</v>
      </c>
      <c r="L82" s="395">
        <v>6502.9187179999999</v>
      </c>
      <c r="M82" s="395"/>
      <c r="N82" s="395">
        <v>14150.872445000001</v>
      </c>
      <c r="O82" s="395">
        <v>2293.7774810000001</v>
      </c>
      <c r="P82" s="395">
        <v>0</v>
      </c>
      <c r="Q82" s="395">
        <v>32572.600617</v>
      </c>
      <c r="R82" s="395">
        <v>34740.593515</v>
      </c>
      <c r="S82" s="395">
        <v>15917.686229999999</v>
      </c>
      <c r="T82" s="395"/>
      <c r="U82" s="395">
        <v>33581.941585</v>
      </c>
      <c r="V82" s="395">
        <v>5156.6417659999997</v>
      </c>
      <c r="W82" s="396">
        <v>0</v>
      </c>
      <c r="X82" s="395">
        <v>89396.863096000001</v>
      </c>
      <c r="Y82" s="397"/>
      <c r="Z82" s="325">
        <f t="shared" si="9"/>
        <v>2014</v>
      </c>
      <c r="AA82" s="394">
        <v>41913</v>
      </c>
      <c r="AB82" s="398">
        <f>'AUX UF'!C81</f>
        <v>24237.7883870968</v>
      </c>
      <c r="AC82" s="325">
        <f t="shared" si="7"/>
        <v>1.4333235755740181</v>
      </c>
      <c r="AD82" s="325">
        <f t="shared" si="7"/>
        <v>0.65673014285717257</v>
      </c>
      <c r="AE82" s="325">
        <f t="shared" si="7"/>
        <v>0</v>
      </c>
      <c r="AF82" s="325">
        <f t="shared" si="6"/>
        <v>1.3855200420380616</v>
      </c>
      <c r="AG82" s="325">
        <f t="shared" si="6"/>
        <v>0.21275215723663896</v>
      </c>
      <c r="AH82" s="325">
        <f t="shared" si="6"/>
        <v>0</v>
      </c>
      <c r="AI82" s="325">
        <f t="shared" si="6"/>
        <v>3.6883259177058916</v>
      </c>
      <c r="AJ82" s="447">
        <f t="shared" si="10"/>
        <v>2.3444491540016452</v>
      </c>
      <c r="AK82" s="447">
        <f t="shared" si="11"/>
        <v>1.3438767637042459</v>
      </c>
    </row>
    <row r="83" spans="2:37" s="63" customFormat="1" ht="12.75" x14ac:dyDescent="0.2">
      <c r="B83" s="325">
        <f t="shared" si="8"/>
        <v>2014</v>
      </c>
      <c r="C83" s="394">
        <v>41944</v>
      </c>
      <c r="D83" s="395">
        <v>25148.544835000001</v>
      </c>
      <c r="E83" s="395">
        <v>9391.8215650000002</v>
      </c>
      <c r="F83" s="395"/>
      <c r="G83" s="395">
        <v>19484.811820999999</v>
      </c>
      <c r="H83" s="395">
        <v>2876.2591699999998</v>
      </c>
      <c r="I83" s="395">
        <v>0</v>
      </c>
      <c r="J83" s="395">
        <v>56901.437390999999</v>
      </c>
      <c r="K83" s="395">
        <v>9669.1735279999994</v>
      </c>
      <c r="L83" s="395">
        <v>6523.762729</v>
      </c>
      <c r="M83" s="395"/>
      <c r="N83" s="395">
        <v>14212.716135999999</v>
      </c>
      <c r="O83" s="395">
        <v>2318.8892340000002</v>
      </c>
      <c r="P83" s="395">
        <v>0</v>
      </c>
      <c r="Q83" s="395">
        <v>32724.541626999999</v>
      </c>
      <c r="R83" s="395">
        <v>34817.718363</v>
      </c>
      <c r="S83" s="395">
        <v>15915.584294</v>
      </c>
      <c r="T83" s="395"/>
      <c r="U83" s="395">
        <v>33697.527956999998</v>
      </c>
      <c r="V83" s="395">
        <v>5195.1484039999996</v>
      </c>
      <c r="W83" s="396">
        <v>0</v>
      </c>
      <c r="X83" s="395">
        <v>89625.979017999998</v>
      </c>
      <c r="Y83" s="397"/>
      <c r="Z83" s="325">
        <f t="shared" si="9"/>
        <v>2014</v>
      </c>
      <c r="AA83" s="394">
        <v>41944</v>
      </c>
      <c r="AB83" s="398">
        <f>'AUX UF'!C82</f>
        <v>24438.1753333333</v>
      </c>
      <c r="AC83" s="325">
        <f t="shared" si="7"/>
        <v>1.4247265963228097</v>
      </c>
      <c r="AD83" s="325">
        <f t="shared" si="7"/>
        <v>0.65125910903386408</v>
      </c>
      <c r="AE83" s="325">
        <f t="shared" si="7"/>
        <v>0</v>
      </c>
      <c r="AF83" s="325">
        <f t="shared" si="6"/>
        <v>1.3788888694581498</v>
      </c>
      <c r="AG83" s="325">
        <f t="shared" si="6"/>
        <v>0.21258331823627993</v>
      </c>
      <c r="AH83" s="325">
        <f t="shared" si="6"/>
        <v>0</v>
      </c>
      <c r="AI83" s="325">
        <f t="shared" si="6"/>
        <v>3.6674578930511039</v>
      </c>
      <c r="AJ83" s="447">
        <f t="shared" si="10"/>
        <v>2.3283832207139992</v>
      </c>
      <c r="AK83" s="447">
        <f t="shared" si="11"/>
        <v>1.3390746723371045</v>
      </c>
    </row>
    <row r="84" spans="2:37" s="63" customFormat="1" ht="12.75" x14ac:dyDescent="0.2">
      <c r="B84" s="325">
        <f t="shared" si="8"/>
        <v>2014</v>
      </c>
      <c r="C84" s="394">
        <v>41974</v>
      </c>
      <c r="D84" s="395">
        <v>25289.592285999999</v>
      </c>
      <c r="E84" s="395">
        <v>9354.9485089999998</v>
      </c>
      <c r="F84" s="395"/>
      <c r="G84" s="395">
        <v>19840.959570999999</v>
      </c>
      <c r="H84" s="395">
        <v>2878.5239329999999</v>
      </c>
      <c r="I84" s="395">
        <v>0</v>
      </c>
      <c r="J84" s="395">
        <v>57364.024298999997</v>
      </c>
      <c r="K84" s="395">
        <v>9652.8874570000007</v>
      </c>
      <c r="L84" s="395">
        <v>6484.2709130000003</v>
      </c>
      <c r="M84" s="395"/>
      <c r="N84" s="395">
        <v>14442.871674</v>
      </c>
      <c r="O84" s="395">
        <v>2295.2976560000002</v>
      </c>
      <c r="P84" s="395">
        <v>0</v>
      </c>
      <c r="Q84" s="395">
        <v>32875.327700000002</v>
      </c>
      <c r="R84" s="395">
        <v>34942.479743000004</v>
      </c>
      <c r="S84" s="395">
        <v>15839.219422</v>
      </c>
      <c r="T84" s="395"/>
      <c r="U84" s="395">
        <v>34283.831245000001</v>
      </c>
      <c r="V84" s="395">
        <v>5173.8215890000001</v>
      </c>
      <c r="W84" s="396">
        <v>0</v>
      </c>
      <c r="X84" s="395">
        <v>90239.351999000006</v>
      </c>
      <c r="Y84" s="397"/>
      <c r="Z84" s="325">
        <f t="shared" si="9"/>
        <v>2014</v>
      </c>
      <c r="AA84" s="394">
        <v>41974</v>
      </c>
      <c r="AB84" s="398">
        <f>'AUX UF'!C83</f>
        <v>24617.623870967702</v>
      </c>
      <c r="AC84" s="325">
        <f t="shared" si="7"/>
        <v>1.4194091162554772</v>
      </c>
      <c r="AD84" s="325">
        <f t="shared" si="7"/>
        <v>0.64340975818871227</v>
      </c>
      <c r="AE84" s="325">
        <f t="shared" si="7"/>
        <v>0</v>
      </c>
      <c r="AF84" s="325">
        <f t="shared" si="6"/>
        <v>1.3926539549347794</v>
      </c>
      <c r="AG84" s="325">
        <f t="shared" si="6"/>
        <v>0.21016738317712466</v>
      </c>
      <c r="AH84" s="325">
        <f t="shared" si="6"/>
        <v>0</v>
      </c>
      <c r="AI84" s="325">
        <f t="shared" si="6"/>
        <v>3.6656402125560934</v>
      </c>
      <c r="AJ84" s="447">
        <f t="shared" si="10"/>
        <v>2.330201509279338</v>
      </c>
      <c r="AK84" s="447">
        <f t="shared" si="11"/>
        <v>1.3354387032767552</v>
      </c>
    </row>
    <row r="85" spans="2:37" s="63" customFormat="1" ht="12.75" x14ac:dyDescent="0.2">
      <c r="B85" s="325">
        <f t="shared" si="8"/>
        <v>2015</v>
      </c>
      <c r="C85" s="394">
        <v>42005</v>
      </c>
      <c r="D85" s="395">
        <v>25041.804984999999</v>
      </c>
      <c r="E85" s="395">
        <v>9311.6948410000005</v>
      </c>
      <c r="F85" s="395"/>
      <c r="G85" s="395">
        <v>19889.787520999998</v>
      </c>
      <c r="H85" s="395">
        <v>2938.5595060000001</v>
      </c>
      <c r="I85" s="395">
        <v>0</v>
      </c>
      <c r="J85" s="395">
        <v>57181.846853000003</v>
      </c>
      <c r="K85" s="395">
        <v>9600.8948149999997</v>
      </c>
      <c r="L85" s="395">
        <v>6466.1587</v>
      </c>
      <c r="M85" s="395"/>
      <c r="N85" s="395">
        <v>14781.631240000001</v>
      </c>
      <c r="O85" s="395">
        <v>2337.224526</v>
      </c>
      <c r="P85" s="395">
        <v>0</v>
      </c>
      <c r="Q85" s="395">
        <v>33185.909281</v>
      </c>
      <c r="R85" s="395">
        <v>34642.699800000002</v>
      </c>
      <c r="S85" s="395">
        <v>15777.853541</v>
      </c>
      <c r="T85" s="395"/>
      <c r="U85" s="395">
        <v>34671.418761000001</v>
      </c>
      <c r="V85" s="395">
        <v>5275.7840319999996</v>
      </c>
      <c r="W85" s="396">
        <v>0</v>
      </c>
      <c r="X85" s="395">
        <v>90367.756133999996</v>
      </c>
      <c r="Y85" s="397"/>
      <c r="Z85" s="325">
        <f t="shared" si="9"/>
        <v>2015</v>
      </c>
      <c r="AA85" s="394">
        <v>42005</v>
      </c>
      <c r="AB85" s="398">
        <f>'AUX UF'!C84</f>
        <v>24601.139032258099</v>
      </c>
      <c r="AC85" s="325">
        <f t="shared" si="7"/>
        <v>1.4081746277916223</v>
      </c>
      <c r="AD85" s="325">
        <f t="shared" si="7"/>
        <v>0.64134646449952515</v>
      </c>
      <c r="AE85" s="325">
        <f t="shared" si="7"/>
        <v>0</v>
      </c>
      <c r="AF85" s="325">
        <f t="shared" si="6"/>
        <v>1.4093420111783159</v>
      </c>
      <c r="AG85" s="325">
        <f t="shared" si="6"/>
        <v>0.21445283590658784</v>
      </c>
      <c r="AH85" s="325">
        <f t="shared" si="6"/>
        <v>0</v>
      </c>
      <c r="AI85" s="325">
        <f t="shared" si="6"/>
        <v>3.6733159393760513</v>
      </c>
      <c r="AJ85" s="447">
        <f t="shared" si="10"/>
        <v>2.3243576965286299</v>
      </c>
      <c r="AK85" s="447">
        <f t="shared" si="11"/>
        <v>1.3489582428474214</v>
      </c>
    </row>
    <row r="86" spans="2:37" s="63" customFormat="1" ht="12.75" x14ac:dyDescent="0.2">
      <c r="B86" s="325">
        <f t="shared" si="8"/>
        <v>2015</v>
      </c>
      <c r="C86" s="394">
        <v>42036</v>
      </c>
      <c r="D86" s="395">
        <v>24983.780566000001</v>
      </c>
      <c r="E86" s="395">
        <v>9256.3849769999997</v>
      </c>
      <c r="F86" s="395"/>
      <c r="G86" s="395">
        <v>19643.531189000001</v>
      </c>
      <c r="H86" s="395">
        <v>2929.3953069999998</v>
      </c>
      <c r="I86" s="395">
        <v>0</v>
      </c>
      <c r="J86" s="395">
        <v>56813.092039000003</v>
      </c>
      <c r="K86" s="395">
        <v>9583.4519469999996</v>
      </c>
      <c r="L86" s="395">
        <v>6444.8508529999999</v>
      </c>
      <c r="M86" s="395"/>
      <c r="N86" s="395">
        <v>14305.26146</v>
      </c>
      <c r="O86" s="395">
        <v>2327.0861369999998</v>
      </c>
      <c r="P86" s="395">
        <v>0</v>
      </c>
      <c r="Q86" s="395">
        <v>32660.650397000001</v>
      </c>
      <c r="R86" s="395">
        <v>34567.232513000003</v>
      </c>
      <c r="S86" s="395">
        <v>15701.23583</v>
      </c>
      <c r="T86" s="395"/>
      <c r="U86" s="395">
        <v>33948.792649000003</v>
      </c>
      <c r="V86" s="395">
        <v>5256.481444</v>
      </c>
      <c r="W86" s="396">
        <v>0</v>
      </c>
      <c r="X86" s="395">
        <v>89473.742436</v>
      </c>
      <c r="Y86" s="397"/>
      <c r="Z86" s="325">
        <f t="shared" si="9"/>
        <v>2015</v>
      </c>
      <c r="AA86" s="394">
        <v>42036</v>
      </c>
      <c r="AB86" s="398">
        <f>'AUX UF'!C85</f>
        <v>24538.6128571429</v>
      </c>
      <c r="AC86" s="325">
        <f t="shared" si="7"/>
        <v>1.408687309027653</v>
      </c>
      <c r="AD86" s="325">
        <f t="shared" si="7"/>
        <v>0.63985832945848675</v>
      </c>
      <c r="AE86" s="325">
        <f t="shared" si="7"/>
        <v>0</v>
      </c>
      <c r="AF86" s="325">
        <f t="shared" si="6"/>
        <v>1.3834845859723448</v>
      </c>
      <c r="AG86" s="325">
        <f t="shared" si="6"/>
        <v>0.21421265637963316</v>
      </c>
      <c r="AH86" s="325">
        <f t="shared" si="6"/>
        <v>0</v>
      </c>
      <c r="AI86" s="325">
        <f t="shared" si="6"/>
        <v>3.6462428808381175</v>
      </c>
      <c r="AJ86" s="447">
        <f t="shared" si="10"/>
        <v>2.3152527964702121</v>
      </c>
      <c r="AK86" s="447">
        <f t="shared" si="11"/>
        <v>1.3309900843679057</v>
      </c>
    </row>
    <row r="87" spans="2:37" s="63" customFormat="1" ht="12.75" x14ac:dyDescent="0.2">
      <c r="B87" s="325">
        <f t="shared" si="8"/>
        <v>2015</v>
      </c>
      <c r="C87" s="394">
        <v>42064</v>
      </c>
      <c r="D87" s="395">
        <v>25035.526484999999</v>
      </c>
      <c r="E87" s="395">
        <v>9207.7002769999999</v>
      </c>
      <c r="F87" s="395"/>
      <c r="G87" s="395">
        <v>19832.220368999999</v>
      </c>
      <c r="H87" s="395">
        <v>2937.4250379999999</v>
      </c>
      <c r="I87" s="395">
        <v>0</v>
      </c>
      <c r="J87" s="395">
        <v>57012.872169000002</v>
      </c>
      <c r="K87" s="395">
        <v>9569.0257550000006</v>
      </c>
      <c r="L87" s="395">
        <v>6536.9870760000003</v>
      </c>
      <c r="M87" s="395"/>
      <c r="N87" s="395">
        <v>14411.990753</v>
      </c>
      <c r="O87" s="395">
        <v>2351.4601320000002</v>
      </c>
      <c r="P87" s="395">
        <v>0</v>
      </c>
      <c r="Q87" s="395">
        <v>32869.463715999998</v>
      </c>
      <c r="R87" s="395">
        <v>34604.552239999997</v>
      </c>
      <c r="S87" s="395">
        <v>15744.687352999999</v>
      </c>
      <c r="T87" s="395"/>
      <c r="U87" s="395">
        <v>34244.211122000001</v>
      </c>
      <c r="V87" s="395">
        <v>5288.8851699999996</v>
      </c>
      <c r="W87" s="396">
        <v>0</v>
      </c>
      <c r="X87" s="395">
        <v>89882.335884999993</v>
      </c>
      <c r="Y87" s="397"/>
      <c r="Z87" s="325">
        <f t="shared" si="9"/>
        <v>2015</v>
      </c>
      <c r="AA87" s="394">
        <v>42064</v>
      </c>
      <c r="AB87" s="398">
        <f>'AUX UF'!C86</f>
        <v>24577.931290322598</v>
      </c>
      <c r="AC87" s="325">
        <f t="shared" si="7"/>
        <v>1.4079521922020066</v>
      </c>
      <c r="AD87" s="325">
        <f t="shared" si="7"/>
        <v>0.64060262708926075</v>
      </c>
      <c r="AE87" s="325">
        <f t="shared" si="7"/>
        <v>0</v>
      </c>
      <c r="AF87" s="325">
        <f t="shared" si="6"/>
        <v>1.3932910267140115</v>
      </c>
      <c r="AG87" s="325">
        <f t="shared" si="6"/>
        <v>0.21518837804231572</v>
      </c>
      <c r="AH87" s="325">
        <f t="shared" si="6"/>
        <v>0</v>
      </c>
      <c r="AI87" s="325">
        <f t="shared" si="6"/>
        <v>3.6570342240475946</v>
      </c>
      <c r="AJ87" s="447">
        <f t="shared" si="10"/>
        <v>2.3196774169292453</v>
      </c>
      <c r="AK87" s="447">
        <f t="shared" si="11"/>
        <v>1.3373568071183493</v>
      </c>
    </row>
    <row r="88" spans="2:37" s="63" customFormat="1" ht="12.75" x14ac:dyDescent="0.2">
      <c r="B88" s="325">
        <f t="shared" si="8"/>
        <v>2015</v>
      </c>
      <c r="C88" s="394">
        <v>42095</v>
      </c>
      <c r="D88" s="395">
        <v>25010.859542999999</v>
      </c>
      <c r="E88" s="395">
        <v>9252.2368690000003</v>
      </c>
      <c r="F88" s="395"/>
      <c r="G88" s="395">
        <v>19949.869049000001</v>
      </c>
      <c r="H88" s="395">
        <v>2925.0679850000001</v>
      </c>
      <c r="I88" s="395">
        <v>0</v>
      </c>
      <c r="J88" s="395">
        <v>57138.033446000001</v>
      </c>
      <c r="K88" s="395">
        <v>9555.5034059999998</v>
      </c>
      <c r="L88" s="395">
        <v>6558.2426459999997</v>
      </c>
      <c r="M88" s="395"/>
      <c r="N88" s="395">
        <v>14553.598953999999</v>
      </c>
      <c r="O88" s="395">
        <v>2346.9753639999999</v>
      </c>
      <c r="P88" s="395">
        <v>0</v>
      </c>
      <c r="Q88" s="395">
        <v>33014.320370000001</v>
      </c>
      <c r="R88" s="395">
        <v>34566.362949000002</v>
      </c>
      <c r="S88" s="395">
        <v>15810.479515000001</v>
      </c>
      <c r="T88" s="395"/>
      <c r="U88" s="395">
        <v>34503.468003000002</v>
      </c>
      <c r="V88" s="395">
        <v>5272.0433489999996</v>
      </c>
      <c r="W88" s="396">
        <v>0</v>
      </c>
      <c r="X88" s="395">
        <v>90152.353816000003</v>
      </c>
      <c r="Y88" s="397"/>
      <c r="Z88" s="325">
        <f t="shared" si="9"/>
        <v>2015</v>
      </c>
      <c r="AA88" s="394">
        <v>42095</v>
      </c>
      <c r="AB88" s="398">
        <f>'AUX UF'!C87</f>
        <v>24685.425999999999</v>
      </c>
      <c r="AC88" s="325">
        <f t="shared" si="7"/>
        <v>1.4002741110888668</v>
      </c>
      <c r="AD88" s="325">
        <f t="shared" si="7"/>
        <v>0.64047829334604156</v>
      </c>
      <c r="AE88" s="325">
        <f t="shared" si="7"/>
        <v>0</v>
      </c>
      <c r="AF88" s="325">
        <f t="shared" si="6"/>
        <v>1.3977262536607633</v>
      </c>
      <c r="AG88" s="325">
        <f t="shared" si="6"/>
        <v>0.21356906496164982</v>
      </c>
      <c r="AH88" s="325">
        <f t="shared" si="6"/>
        <v>0</v>
      </c>
      <c r="AI88" s="325">
        <f t="shared" si="6"/>
        <v>3.6520477230573216</v>
      </c>
      <c r="AJ88" s="447">
        <f t="shared" si="10"/>
        <v>2.3146464414266137</v>
      </c>
      <c r="AK88" s="447">
        <f t="shared" si="11"/>
        <v>1.3374012816307079</v>
      </c>
    </row>
    <row r="89" spans="2:37" s="63" customFormat="1" ht="12.75" x14ac:dyDescent="0.2">
      <c r="B89" s="325">
        <f t="shared" si="8"/>
        <v>2015</v>
      </c>
      <c r="C89" s="394">
        <v>42125</v>
      </c>
      <c r="D89" s="395">
        <v>25057.285103999999</v>
      </c>
      <c r="E89" s="395">
        <v>9256.6391019999992</v>
      </c>
      <c r="F89" s="395"/>
      <c r="G89" s="395">
        <v>20025.843294999999</v>
      </c>
      <c r="H89" s="395">
        <v>2927.2135579999999</v>
      </c>
      <c r="I89" s="395">
        <v>0</v>
      </c>
      <c r="J89" s="395">
        <v>57266.981058999998</v>
      </c>
      <c r="K89" s="395">
        <v>9575.9323700000004</v>
      </c>
      <c r="L89" s="395">
        <v>6575.2077680000002</v>
      </c>
      <c r="M89" s="395"/>
      <c r="N89" s="395">
        <v>14572.582985999999</v>
      </c>
      <c r="O89" s="395">
        <v>2351.0732830000002</v>
      </c>
      <c r="P89" s="395">
        <v>0</v>
      </c>
      <c r="Q89" s="395">
        <v>33074.796407000002</v>
      </c>
      <c r="R89" s="395">
        <v>34633.217473999997</v>
      </c>
      <c r="S89" s="395">
        <v>15831.846869999999</v>
      </c>
      <c r="T89" s="395"/>
      <c r="U89" s="395">
        <v>34598.426281</v>
      </c>
      <c r="V89" s="395">
        <v>5278.2868410000001</v>
      </c>
      <c r="W89" s="396">
        <v>0</v>
      </c>
      <c r="X89" s="395">
        <v>90341.777466</v>
      </c>
      <c r="Y89" s="397"/>
      <c r="Z89" s="325">
        <f t="shared" si="9"/>
        <v>2015</v>
      </c>
      <c r="AA89" s="394">
        <v>42125</v>
      </c>
      <c r="AB89" s="398">
        <f>'AUX UF'!C88</f>
        <v>24832.6138709677</v>
      </c>
      <c r="AC89" s="325">
        <f t="shared" si="7"/>
        <v>1.3946666127841814</v>
      </c>
      <c r="AD89" s="325">
        <f t="shared" si="7"/>
        <v>0.63754250568480531</v>
      </c>
      <c r="AE89" s="325">
        <f t="shared" si="7"/>
        <v>0</v>
      </c>
      <c r="AF89" s="325">
        <f t="shared" si="6"/>
        <v>1.3932655845565136</v>
      </c>
      <c r="AG89" s="325">
        <f t="shared" si="6"/>
        <v>0.21255462145170911</v>
      </c>
      <c r="AH89" s="325">
        <f t="shared" si="6"/>
        <v>0</v>
      </c>
      <c r="AI89" s="325">
        <f t="shared" si="6"/>
        <v>3.6380293244772095</v>
      </c>
      <c r="AJ89" s="447">
        <f t="shared" si="10"/>
        <v>2.3061197406186853</v>
      </c>
      <c r="AK89" s="447">
        <f t="shared" si="11"/>
        <v>1.331909583858524</v>
      </c>
    </row>
    <row r="90" spans="2:37" s="63" customFormat="1" ht="12.75" x14ac:dyDescent="0.2">
      <c r="B90" s="325">
        <f t="shared" si="8"/>
        <v>2015</v>
      </c>
      <c r="C90" s="394">
        <v>42156</v>
      </c>
      <c r="D90" s="395">
        <v>25028.350238999999</v>
      </c>
      <c r="E90" s="395">
        <v>9255.1512089999997</v>
      </c>
      <c r="F90" s="395"/>
      <c r="G90" s="395">
        <v>20224.673155</v>
      </c>
      <c r="H90" s="395">
        <v>2959.3859579999998</v>
      </c>
      <c r="I90" s="395">
        <v>0</v>
      </c>
      <c r="J90" s="395">
        <v>57467.560560999998</v>
      </c>
      <c r="K90" s="395">
        <v>9557.6229920000005</v>
      </c>
      <c r="L90" s="395">
        <v>6545.9334680000002</v>
      </c>
      <c r="M90" s="395"/>
      <c r="N90" s="395">
        <v>14706.054700999999</v>
      </c>
      <c r="O90" s="395">
        <v>2380.5636589999999</v>
      </c>
      <c r="P90" s="395">
        <v>0</v>
      </c>
      <c r="Q90" s="395">
        <v>33190.17482</v>
      </c>
      <c r="R90" s="395">
        <v>34585.973231000004</v>
      </c>
      <c r="S90" s="395">
        <v>15801.084677000001</v>
      </c>
      <c r="T90" s="395"/>
      <c r="U90" s="395">
        <v>34930.727855999998</v>
      </c>
      <c r="V90" s="395">
        <v>5339.9496170000002</v>
      </c>
      <c r="W90" s="396">
        <v>0</v>
      </c>
      <c r="X90" s="395">
        <v>90657.735381000006</v>
      </c>
      <c r="Y90" s="397"/>
      <c r="Z90" s="325">
        <f t="shared" si="9"/>
        <v>2015</v>
      </c>
      <c r="AA90" s="394">
        <v>42156</v>
      </c>
      <c r="AB90" s="398">
        <f>'AUX UF'!C89</f>
        <v>24955.065666666698</v>
      </c>
      <c r="AC90" s="325">
        <f t="shared" si="7"/>
        <v>1.3859299627969974</v>
      </c>
      <c r="AD90" s="325">
        <f t="shared" si="7"/>
        <v>0.63318145053435104</v>
      </c>
      <c r="AE90" s="325">
        <f t="shared" si="7"/>
        <v>0</v>
      </c>
      <c r="AF90" s="325">
        <f t="shared" si="6"/>
        <v>1.3997449785378895</v>
      </c>
      <c r="AG90" s="325">
        <f t="shared" si="6"/>
        <v>0.21398259128337002</v>
      </c>
      <c r="AH90" s="325">
        <f t="shared" si="6"/>
        <v>0</v>
      </c>
      <c r="AI90" s="325">
        <f t="shared" si="6"/>
        <v>3.6328389831526078</v>
      </c>
      <c r="AJ90" s="447">
        <f t="shared" si="10"/>
        <v>2.3028414883220005</v>
      </c>
      <c r="AK90" s="447">
        <f t="shared" si="11"/>
        <v>1.329997494830607</v>
      </c>
    </row>
    <row r="91" spans="2:37" s="63" customFormat="1" ht="12.75" x14ac:dyDescent="0.2">
      <c r="B91" s="325">
        <f t="shared" si="8"/>
        <v>2015</v>
      </c>
      <c r="C91" s="394">
        <v>42186</v>
      </c>
      <c r="D91" s="395">
        <v>26140.906973000001</v>
      </c>
      <c r="E91" s="395">
        <v>9750.4866839999995</v>
      </c>
      <c r="F91" s="395"/>
      <c r="G91" s="395">
        <v>21906.233716999999</v>
      </c>
      <c r="H91" s="395">
        <v>3119.4183760000001</v>
      </c>
      <c r="I91" s="395">
        <v>0</v>
      </c>
      <c r="J91" s="395">
        <v>60917.045749999997</v>
      </c>
      <c r="K91" s="395">
        <v>9984.312844</v>
      </c>
      <c r="L91" s="395">
        <v>6929.3038610000003</v>
      </c>
      <c r="M91" s="395"/>
      <c r="N91" s="395">
        <v>16041.225586</v>
      </c>
      <c r="O91" s="395">
        <v>2525.715001</v>
      </c>
      <c r="P91" s="395">
        <v>0</v>
      </c>
      <c r="Q91" s="395">
        <v>35480.557291999998</v>
      </c>
      <c r="R91" s="395">
        <v>36125.219816999997</v>
      </c>
      <c r="S91" s="395">
        <v>16679.790545</v>
      </c>
      <c r="T91" s="395"/>
      <c r="U91" s="395">
        <v>37947.459303000003</v>
      </c>
      <c r="V91" s="395">
        <v>5645.1333770000001</v>
      </c>
      <c r="W91" s="396">
        <v>0</v>
      </c>
      <c r="X91" s="395">
        <v>96397.603042000002</v>
      </c>
      <c r="Y91" s="397"/>
      <c r="Z91" s="325">
        <f t="shared" si="9"/>
        <v>2015</v>
      </c>
      <c r="AA91" s="394">
        <v>42186</v>
      </c>
      <c r="AB91" s="398">
        <f>'AUX UF'!C90</f>
        <v>25028.869354838698</v>
      </c>
      <c r="AC91" s="325">
        <f t="shared" si="7"/>
        <v>1.4433420585183605</v>
      </c>
      <c r="AD91" s="325">
        <f t="shared" si="7"/>
        <v>0.66642205480909522</v>
      </c>
      <c r="AE91" s="325">
        <f t="shared" si="7"/>
        <v>0</v>
      </c>
      <c r="AF91" s="325">
        <f t="shared" si="6"/>
        <v>1.5161475640394368</v>
      </c>
      <c r="AG91" s="325">
        <f t="shared" si="6"/>
        <v>0.22554488167115933</v>
      </c>
      <c r="AH91" s="325">
        <f t="shared" si="6"/>
        <v>0</v>
      </c>
      <c r="AI91" s="325">
        <f t="shared" si="6"/>
        <v>3.8514565590380521</v>
      </c>
      <c r="AJ91" s="447">
        <f t="shared" si="10"/>
        <v>2.4338712582805195</v>
      </c>
      <c r="AK91" s="447">
        <f t="shared" si="11"/>
        <v>1.4175853007575323</v>
      </c>
    </row>
    <row r="92" spans="2:37" s="63" customFormat="1" ht="12.75" x14ac:dyDescent="0.2">
      <c r="B92" s="325">
        <f t="shared" si="8"/>
        <v>2015</v>
      </c>
      <c r="C92" s="394">
        <v>42217</v>
      </c>
      <c r="D92" s="395">
        <v>26053.736005999999</v>
      </c>
      <c r="E92" s="395">
        <v>9717.0827950000003</v>
      </c>
      <c r="F92" s="395"/>
      <c r="G92" s="395">
        <v>21926.701459</v>
      </c>
      <c r="H92" s="395">
        <v>3092.2428709999999</v>
      </c>
      <c r="I92" s="395">
        <v>0</v>
      </c>
      <c r="J92" s="395">
        <v>60789.763131</v>
      </c>
      <c r="K92" s="395">
        <v>9932.0773009999994</v>
      </c>
      <c r="L92" s="395">
        <v>6832.2694190000002</v>
      </c>
      <c r="M92" s="395"/>
      <c r="N92" s="395">
        <v>15892.980879000001</v>
      </c>
      <c r="O92" s="395">
        <v>2491.1098419999998</v>
      </c>
      <c r="P92" s="395">
        <v>0</v>
      </c>
      <c r="Q92" s="395">
        <v>35148.437441000002</v>
      </c>
      <c r="R92" s="395">
        <v>35985.813306999997</v>
      </c>
      <c r="S92" s="395">
        <v>16549.352213999999</v>
      </c>
      <c r="T92" s="395"/>
      <c r="U92" s="395">
        <v>37819.682337999999</v>
      </c>
      <c r="V92" s="395">
        <v>5583.3527130000002</v>
      </c>
      <c r="W92" s="396">
        <v>0</v>
      </c>
      <c r="X92" s="395">
        <v>95938.200572000002</v>
      </c>
      <c r="Y92" s="397"/>
      <c r="Z92" s="325">
        <f t="shared" si="9"/>
        <v>2015</v>
      </c>
      <c r="AA92" s="394">
        <v>42217</v>
      </c>
      <c r="AB92" s="398">
        <f>'AUX UF'!C91</f>
        <v>25144.666774193502</v>
      </c>
      <c r="AC92" s="325">
        <f t="shared" si="7"/>
        <v>1.4311509327271337</v>
      </c>
      <c r="AD92" s="325">
        <f t="shared" si="7"/>
        <v>0.65816550136130436</v>
      </c>
      <c r="AE92" s="325">
        <f t="shared" si="7"/>
        <v>0</v>
      </c>
      <c r="AF92" s="325">
        <f t="shared" si="6"/>
        <v>1.5040836562930764</v>
      </c>
      <c r="AG92" s="325">
        <f t="shared" si="6"/>
        <v>0.22204918295955753</v>
      </c>
      <c r="AH92" s="325">
        <f t="shared" si="6"/>
        <v>0</v>
      </c>
      <c r="AI92" s="325">
        <f t="shared" si="6"/>
        <v>3.8154492733410725</v>
      </c>
      <c r="AJ92" s="447">
        <f t="shared" si="10"/>
        <v>2.4176006656564568</v>
      </c>
      <c r="AK92" s="447">
        <f t="shared" si="11"/>
        <v>1.3978486076846157</v>
      </c>
    </row>
    <row r="93" spans="2:37" s="63" customFormat="1" ht="12.75" x14ac:dyDescent="0.2">
      <c r="B93" s="325">
        <f t="shared" si="8"/>
        <v>2015</v>
      </c>
      <c r="C93" s="394">
        <v>42248</v>
      </c>
      <c r="D93" s="395">
        <v>26180.153942000001</v>
      </c>
      <c r="E93" s="395">
        <v>9767.2713509999994</v>
      </c>
      <c r="F93" s="395"/>
      <c r="G93" s="395">
        <v>22248.031107999999</v>
      </c>
      <c r="H93" s="395">
        <v>3101.3247630000001</v>
      </c>
      <c r="I93" s="395">
        <v>0</v>
      </c>
      <c r="J93" s="395">
        <v>61296.781164</v>
      </c>
      <c r="K93" s="395">
        <v>9962.781583</v>
      </c>
      <c r="L93" s="395">
        <v>6892.7950110000002</v>
      </c>
      <c r="M93" s="395"/>
      <c r="N93" s="395">
        <v>16104.807118999999</v>
      </c>
      <c r="O93" s="395">
        <v>2511.6216439999998</v>
      </c>
      <c r="P93" s="395">
        <v>0</v>
      </c>
      <c r="Q93" s="395">
        <v>35472.005357000002</v>
      </c>
      <c r="R93" s="395">
        <v>36142.935525000001</v>
      </c>
      <c r="S93" s="395">
        <v>16660.066362000001</v>
      </c>
      <c r="T93" s="395"/>
      <c r="U93" s="395">
        <v>38352.838227</v>
      </c>
      <c r="V93" s="395">
        <v>5612.9464070000004</v>
      </c>
      <c r="W93" s="396">
        <v>0</v>
      </c>
      <c r="X93" s="395">
        <v>96768.786521000002</v>
      </c>
      <c r="Y93" s="397"/>
      <c r="Z93" s="325">
        <f t="shared" si="9"/>
        <v>2015</v>
      </c>
      <c r="AA93" s="394">
        <v>42248</v>
      </c>
      <c r="AB93" s="398">
        <f>'AUX UF'!C92</f>
        <v>25264.759333333299</v>
      </c>
      <c r="AC93" s="325">
        <f t="shared" si="7"/>
        <v>1.4305671804803015</v>
      </c>
      <c r="AD93" s="325">
        <f t="shared" si="7"/>
        <v>0.65941915939881468</v>
      </c>
      <c r="AE93" s="325">
        <f t="shared" si="7"/>
        <v>0</v>
      </c>
      <c r="AF93" s="325">
        <f t="shared" si="6"/>
        <v>1.5180369510347491</v>
      </c>
      <c r="AG93" s="325">
        <f t="shared" si="6"/>
        <v>0.22216504550646982</v>
      </c>
      <c r="AH93" s="325">
        <f t="shared" si="6"/>
        <v>0</v>
      </c>
      <c r="AI93" s="325">
        <f t="shared" si="6"/>
        <v>3.8301883364203353</v>
      </c>
      <c r="AJ93" s="447">
        <f t="shared" si="10"/>
        <v>2.4261771250331092</v>
      </c>
      <c r="AK93" s="447">
        <f t="shared" si="11"/>
        <v>1.4040112113872256</v>
      </c>
    </row>
    <row r="94" spans="2:37" s="63" customFormat="1" ht="12.75" x14ac:dyDescent="0.2">
      <c r="B94" s="325">
        <f t="shared" si="8"/>
        <v>2015</v>
      </c>
      <c r="C94" s="394">
        <v>42278</v>
      </c>
      <c r="D94" s="395">
        <v>26182.709630000001</v>
      </c>
      <c r="E94" s="395">
        <v>9762.5067190000009</v>
      </c>
      <c r="F94" s="395"/>
      <c r="G94" s="395">
        <v>22458.624022</v>
      </c>
      <c r="H94" s="395">
        <v>3086.7930740000002</v>
      </c>
      <c r="I94" s="395">
        <v>0</v>
      </c>
      <c r="J94" s="395">
        <v>61490.633444999999</v>
      </c>
      <c r="K94" s="395">
        <v>9946.0928980000008</v>
      </c>
      <c r="L94" s="395">
        <v>6893.586781</v>
      </c>
      <c r="M94" s="395"/>
      <c r="N94" s="395">
        <v>16237.880278000001</v>
      </c>
      <c r="O94" s="395">
        <v>2500.7920610000001</v>
      </c>
      <c r="P94" s="395">
        <v>0</v>
      </c>
      <c r="Q94" s="395">
        <v>35578.352017999998</v>
      </c>
      <c r="R94" s="395">
        <v>36128.802528</v>
      </c>
      <c r="S94" s="395">
        <v>16656.093499999999</v>
      </c>
      <c r="T94" s="395"/>
      <c r="U94" s="395">
        <v>38696.504300000001</v>
      </c>
      <c r="V94" s="395">
        <v>5587.5851350000003</v>
      </c>
      <c r="W94" s="396">
        <v>0</v>
      </c>
      <c r="X94" s="395">
        <v>97068.985463000005</v>
      </c>
      <c r="Y94" s="397"/>
      <c r="Z94" s="325">
        <f t="shared" si="9"/>
        <v>2015</v>
      </c>
      <c r="AA94" s="394">
        <v>42278</v>
      </c>
      <c r="AB94" s="398">
        <f>'AUX UF'!C93</f>
        <v>25426.518064516102</v>
      </c>
      <c r="AC94" s="325">
        <f t="shared" si="7"/>
        <v>1.4209103439302386</v>
      </c>
      <c r="AD94" s="325">
        <f t="shared" si="7"/>
        <v>0.65506780982506441</v>
      </c>
      <c r="AE94" s="325">
        <f t="shared" si="7"/>
        <v>0</v>
      </c>
      <c r="AF94" s="325">
        <f t="shared" si="6"/>
        <v>1.5218955344893561</v>
      </c>
      <c r="AG94" s="325">
        <f t="shared" si="6"/>
        <v>0.21975423928759391</v>
      </c>
      <c r="AH94" s="325">
        <f t="shared" si="6"/>
        <v>0</v>
      </c>
      <c r="AI94" s="325">
        <f t="shared" si="6"/>
        <v>3.8176279275322531</v>
      </c>
      <c r="AJ94" s="447">
        <f t="shared" si="10"/>
        <v>2.4183662619072117</v>
      </c>
      <c r="AK94" s="447">
        <f t="shared" si="11"/>
        <v>1.3992616656250412</v>
      </c>
    </row>
    <row r="95" spans="2:37" s="63" customFormat="1" ht="12.75" x14ac:dyDescent="0.2">
      <c r="B95" s="325">
        <f t="shared" si="8"/>
        <v>2015</v>
      </c>
      <c r="C95" s="394">
        <v>42309</v>
      </c>
      <c r="D95" s="395">
        <v>26177.962984999998</v>
      </c>
      <c r="E95" s="395">
        <v>9731.9580800000003</v>
      </c>
      <c r="F95" s="395"/>
      <c r="G95" s="395">
        <v>22486.036004000001</v>
      </c>
      <c r="H95" s="395">
        <v>3085.8060310000001</v>
      </c>
      <c r="I95" s="395">
        <v>0</v>
      </c>
      <c r="J95" s="395">
        <v>61481.763099999996</v>
      </c>
      <c r="K95" s="395">
        <v>9942.4733859999997</v>
      </c>
      <c r="L95" s="395">
        <v>6883.1065330000001</v>
      </c>
      <c r="M95" s="395"/>
      <c r="N95" s="395">
        <v>16295.615647000001</v>
      </c>
      <c r="O95" s="395">
        <v>2498.5165579999998</v>
      </c>
      <c r="P95" s="395">
        <v>0</v>
      </c>
      <c r="Q95" s="395">
        <v>35619.712123999998</v>
      </c>
      <c r="R95" s="395">
        <v>36120.436371000003</v>
      </c>
      <c r="S95" s="395">
        <v>16615.064612999999</v>
      </c>
      <c r="T95" s="395"/>
      <c r="U95" s="395">
        <v>38781.651651</v>
      </c>
      <c r="V95" s="395">
        <v>5584.3225890000003</v>
      </c>
      <c r="W95" s="396">
        <v>0</v>
      </c>
      <c r="X95" s="395">
        <v>97101.475223999994</v>
      </c>
      <c r="Y95" s="397"/>
      <c r="Z95" s="325">
        <f t="shared" si="9"/>
        <v>2015</v>
      </c>
      <c r="AA95" s="394">
        <v>42309</v>
      </c>
      <c r="AB95" s="398">
        <f>'AUX UF'!C94</f>
        <v>25548.234333333301</v>
      </c>
      <c r="AC95" s="325">
        <f t="shared" si="7"/>
        <v>1.4138134126894608</v>
      </c>
      <c r="AD95" s="325">
        <f t="shared" si="7"/>
        <v>0.6503410136379556</v>
      </c>
      <c r="AE95" s="325">
        <f t="shared" si="7"/>
        <v>0</v>
      </c>
      <c r="AF95" s="325">
        <f t="shared" si="6"/>
        <v>1.5179777649213428</v>
      </c>
      <c r="AG95" s="325">
        <f t="shared" si="6"/>
        <v>0.2185795901251</v>
      </c>
      <c r="AH95" s="325">
        <f t="shared" si="6"/>
        <v>0</v>
      </c>
      <c r="AI95" s="325">
        <f t="shared" si="6"/>
        <v>3.8007117813738591</v>
      </c>
      <c r="AJ95" s="447">
        <f t="shared" si="10"/>
        <v>2.4064975409977154</v>
      </c>
      <c r="AK95" s="447">
        <f t="shared" si="11"/>
        <v>1.3942142403761435</v>
      </c>
    </row>
    <row r="96" spans="2:37" s="63" customFormat="1" ht="12.75" x14ac:dyDescent="0.2">
      <c r="B96" s="325">
        <f t="shared" si="8"/>
        <v>2015</v>
      </c>
      <c r="C96" s="394">
        <v>42339</v>
      </c>
      <c r="D96" s="395">
        <v>26203.198940999999</v>
      </c>
      <c r="E96" s="395">
        <v>9748.0055269999993</v>
      </c>
      <c r="F96" s="395"/>
      <c r="G96" s="395">
        <v>22713.656138999999</v>
      </c>
      <c r="H96" s="395">
        <v>3070.1977579999998</v>
      </c>
      <c r="I96" s="395">
        <v>0</v>
      </c>
      <c r="J96" s="395">
        <v>61735.058364999997</v>
      </c>
      <c r="K96" s="395">
        <v>9930.9862950000006</v>
      </c>
      <c r="L96" s="395">
        <v>6897.7092419999999</v>
      </c>
      <c r="M96" s="395"/>
      <c r="N96" s="395">
        <v>16418.859100000001</v>
      </c>
      <c r="O96" s="395">
        <v>2488.140257</v>
      </c>
      <c r="P96" s="395">
        <v>0</v>
      </c>
      <c r="Q96" s="395">
        <v>35735.694894</v>
      </c>
      <c r="R96" s="395">
        <v>36134.185235999998</v>
      </c>
      <c r="S96" s="395">
        <v>16645.714768999998</v>
      </c>
      <c r="T96" s="395"/>
      <c r="U96" s="395">
        <v>39132.515239</v>
      </c>
      <c r="V96" s="395">
        <v>5558.3380150000003</v>
      </c>
      <c r="W96" s="396">
        <v>0</v>
      </c>
      <c r="X96" s="395">
        <v>97470.753259000005</v>
      </c>
      <c r="Y96" s="397"/>
      <c r="Z96" s="325">
        <f t="shared" si="9"/>
        <v>2015</v>
      </c>
      <c r="AA96" s="394">
        <v>42339</v>
      </c>
      <c r="AB96" s="398">
        <f>'AUX UF'!C95</f>
        <v>25625.130645161302</v>
      </c>
      <c r="AC96" s="325">
        <f t="shared" si="7"/>
        <v>1.4101073565774418</v>
      </c>
      <c r="AD96" s="325">
        <f t="shared" si="7"/>
        <v>0.64958555722107691</v>
      </c>
      <c r="AE96" s="325">
        <f t="shared" si="7"/>
        <v>0</v>
      </c>
      <c r="AF96" s="325">
        <f t="shared" si="6"/>
        <v>1.5271147601500814</v>
      </c>
      <c r="AG96" s="325">
        <f t="shared" si="6"/>
        <v>0.21690964592407105</v>
      </c>
      <c r="AH96" s="325">
        <f t="shared" si="6"/>
        <v>0</v>
      </c>
      <c r="AI96" s="325">
        <f t="shared" si="6"/>
        <v>3.8037173198726713</v>
      </c>
      <c r="AJ96" s="447">
        <f t="shared" si="10"/>
        <v>2.4091607266266641</v>
      </c>
      <c r="AK96" s="447">
        <f t="shared" si="11"/>
        <v>1.3945565932460071</v>
      </c>
    </row>
    <row r="97" spans="2:37" s="63" customFormat="1" ht="12.75" x14ac:dyDescent="0.2">
      <c r="B97" s="325">
        <f t="shared" si="8"/>
        <v>2016</v>
      </c>
      <c r="C97" s="394">
        <v>42370</v>
      </c>
      <c r="D97" s="395">
        <v>26186.624080000001</v>
      </c>
      <c r="E97" s="395">
        <v>9780.0905180000009</v>
      </c>
      <c r="F97" s="395"/>
      <c r="G97" s="395">
        <v>22789.592183000001</v>
      </c>
      <c r="H97" s="395">
        <v>3090.8943669999999</v>
      </c>
      <c r="I97" s="395">
        <v>0</v>
      </c>
      <c r="J97" s="395">
        <v>61847.201148</v>
      </c>
      <c r="K97" s="395">
        <v>9916.727363</v>
      </c>
      <c r="L97" s="395">
        <v>6889.8632109999999</v>
      </c>
      <c r="M97" s="395"/>
      <c r="N97" s="395">
        <v>16548.300026000001</v>
      </c>
      <c r="O97" s="395">
        <v>2503.3782379999998</v>
      </c>
      <c r="P97" s="395">
        <v>0</v>
      </c>
      <c r="Q97" s="395">
        <v>35858.268838000004</v>
      </c>
      <c r="R97" s="395">
        <v>36103.351443</v>
      </c>
      <c r="S97" s="395">
        <v>16669.953729000001</v>
      </c>
      <c r="T97" s="395"/>
      <c r="U97" s="395">
        <v>39337.892208999998</v>
      </c>
      <c r="V97" s="395">
        <v>5594.2726050000001</v>
      </c>
      <c r="W97" s="396">
        <v>0</v>
      </c>
      <c r="X97" s="395">
        <v>97705.469985999996</v>
      </c>
      <c r="Y97" s="397"/>
      <c r="Z97" s="325">
        <f t="shared" si="9"/>
        <v>2016</v>
      </c>
      <c r="AA97" s="394">
        <v>42370</v>
      </c>
      <c r="AB97" s="398">
        <f>'AUX UF'!C96</f>
        <v>25629.09</v>
      </c>
      <c r="AC97" s="325">
        <f t="shared" si="7"/>
        <v>1.4086864357259661</v>
      </c>
      <c r="AD97" s="325">
        <f t="shared" si="7"/>
        <v>0.65043096454068405</v>
      </c>
      <c r="AE97" s="325">
        <f t="shared" si="7"/>
        <v>0</v>
      </c>
      <c r="AF97" s="325">
        <f t="shared" si="6"/>
        <v>1.534892273155231</v>
      </c>
      <c r="AG97" s="325">
        <f t="shared" si="6"/>
        <v>0.21827823793197496</v>
      </c>
      <c r="AH97" s="325">
        <f t="shared" si="6"/>
        <v>0</v>
      </c>
      <c r="AI97" s="325">
        <f t="shared" si="6"/>
        <v>3.8122879113538559</v>
      </c>
      <c r="AJ97" s="447">
        <f t="shared" si="10"/>
        <v>2.4131641485515094</v>
      </c>
      <c r="AK97" s="447">
        <f t="shared" si="11"/>
        <v>1.399123762802347</v>
      </c>
    </row>
    <row r="98" spans="2:37" s="63" customFormat="1" ht="12.75" x14ac:dyDescent="0.2">
      <c r="B98" s="325">
        <f t="shared" si="8"/>
        <v>2016</v>
      </c>
      <c r="C98" s="394">
        <v>42401</v>
      </c>
      <c r="D98" s="395">
        <v>26246.322201999999</v>
      </c>
      <c r="E98" s="395">
        <v>9796.5918789999996</v>
      </c>
      <c r="F98" s="395"/>
      <c r="G98" s="395">
        <v>22635.180851000001</v>
      </c>
      <c r="H98" s="395">
        <v>3077.8142269999998</v>
      </c>
      <c r="I98" s="395">
        <v>0</v>
      </c>
      <c r="J98" s="395">
        <v>61755.909159000003</v>
      </c>
      <c r="K98" s="395">
        <v>9938.7783309999995</v>
      </c>
      <c r="L98" s="395">
        <v>6933.7087760000004</v>
      </c>
      <c r="M98" s="395"/>
      <c r="N98" s="395">
        <v>16407.786058999998</v>
      </c>
      <c r="O98" s="395">
        <v>2490.7193189999998</v>
      </c>
      <c r="P98" s="395">
        <v>0</v>
      </c>
      <c r="Q98" s="395">
        <v>35770.992485000002</v>
      </c>
      <c r="R98" s="395">
        <v>36185.100532999997</v>
      </c>
      <c r="S98" s="395">
        <v>16730.300654999999</v>
      </c>
      <c r="T98" s="395"/>
      <c r="U98" s="395">
        <v>39042.966910000003</v>
      </c>
      <c r="V98" s="395">
        <v>5568.5335459999997</v>
      </c>
      <c r="W98" s="396">
        <v>0</v>
      </c>
      <c r="X98" s="395">
        <v>97526.901643999998</v>
      </c>
      <c r="Y98" s="397"/>
      <c r="Z98" s="325">
        <f t="shared" si="9"/>
        <v>2016</v>
      </c>
      <c r="AA98" s="394">
        <v>42401</v>
      </c>
      <c r="AB98" s="398">
        <f>'AUX UF'!C97</f>
        <v>25661.046551724099</v>
      </c>
      <c r="AC98" s="325">
        <f t="shared" si="7"/>
        <v>1.410117878866044</v>
      </c>
      <c r="AD98" s="325">
        <f t="shared" si="7"/>
        <v>0.65197265517902014</v>
      </c>
      <c r="AE98" s="325">
        <f t="shared" si="7"/>
        <v>0</v>
      </c>
      <c r="AF98" s="325">
        <f t="shared" si="6"/>
        <v>1.5214877082780869</v>
      </c>
      <c r="AG98" s="325">
        <f t="shared" si="6"/>
        <v>0.2170033686964285</v>
      </c>
      <c r="AH98" s="325">
        <f t="shared" si="6"/>
        <v>0</v>
      </c>
      <c r="AI98" s="325">
        <f t="shared" si="6"/>
        <v>3.8005816110195791</v>
      </c>
      <c r="AJ98" s="447">
        <f t="shared" si="10"/>
        <v>2.4066013455266027</v>
      </c>
      <c r="AK98" s="447">
        <f t="shared" si="11"/>
        <v>1.3939802654929769</v>
      </c>
    </row>
    <row r="99" spans="2:37" s="63" customFormat="1" ht="12.75" x14ac:dyDescent="0.2">
      <c r="B99" s="325">
        <f t="shared" si="8"/>
        <v>2016</v>
      </c>
      <c r="C99" s="394">
        <v>42430</v>
      </c>
      <c r="D99" s="395">
        <v>26089.860443000001</v>
      </c>
      <c r="E99" s="395">
        <v>9697.0245219999997</v>
      </c>
      <c r="F99" s="395"/>
      <c r="G99" s="395">
        <v>22620.982057000001</v>
      </c>
      <c r="H99" s="395">
        <v>3056.7822339999998</v>
      </c>
      <c r="I99" s="395">
        <v>0</v>
      </c>
      <c r="J99" s="395">
        <v>61464.649255999997</v>
      </c>
      <c r="K99" s="395">
        <v>9852.5485829999998</v>
      </c>
      <c r="L99" s="395">
        <v>6846.4443670000001</v>
      </c>
      <c r="M99" s="395"/>
      <c r="N99" s="395">
        <v>16352.677604</v>
      </c>
      <c r="O99" s="395">
        <v>2476.491708</v>
      </c>
      <c r="P99" s="395">
        <v>0</v>
      </c>
      <c r="Q99" s="395">
        <v>35528.162261999998</v>
      </c>
      <c r="R99" s="395">
        <v>35942.409026000001</v>
      </c>
      <c r="S99" s="395">
        <v>16543.468889</v>
      </c>
      <c r="T99" s="395"/>
      <c r="U99" s="395">
        <v>38973.659660999998</v>
      </c>
      <c r="V99" s="395">
        <v>5533.2739419999998</v>
      </c>
      <c r="W99" s="396">
        <v>0</v>
      </c>
      <c r="X99" s="395">
        <v>96992.811518000002</v>
      </c>
      <c r="Y99" s="397"/>
      <c r="Z99" s="325">
        <f t="shared" si="9"/>
        <v>2016</v>
      </c>
      <c r="AA99" s="394">
        <v>42430</v>
      </c>
      <c r="AB99" s="398">
        <f>'AUX UF'!C98</f>
        <v>25772.425161290299</v>
      </c>
      <c r="AC99" s="325">
        <f t="shared" si="7"/>
        <v>1.3946071741818393</v>
      </c>
      <c r="AD99" s="325">
        <f t="shared" si="7"/>
        <v>0.64190578827824019</v>
      </c>
      <c r="AE99" s="325">
        <f t="shared" si="7"/>
        <v>0</v>
      </c>
      <c r="AF99" s="325">
        <f t="shared" si="6"/>
        <v>1.5122232159796007</v>
      </c>
      <c r="AG99" s="325">
        <f t="shared" si="6"/>
        <v>0.21469744920671546</v>
      </c>
      <c r="AH99" s="325">
        <f t="shared" si="6"/>
        <v>0</v>
      </c>
      <c r="AI99" s="325">
        <f t="shared" si="6"/>
        <v>3.7634336276463958</v>
      </c>
      <c r="AJ99" s="447">
        <f t="shared" si="10"/>
        <v>2.3848997085582289</v>
      </c>
      <c r="AK99" s="447">
        <f t="shared" si="11"/>
        <v>1.3785339190881669</v>
      </c>
    </row>
    <row r="100" spans="2:37" s="63" customFormat="1" ht="12.75" x14ac:dyDescent="0.2">
      <c r="B100" s="325">
        <f t="shared" si="8"/>
        <v>2016</v>
      </c>
      <c r="C100" s="394">
        <v>42461</v>
      </c>
      <c r="D100" s="395">
        <v>26277.141800000001</v>
      </c>
      <c r="E100" s="395">
        <v>9816.8227690000003</v>
      </c>
      <c r="F100" s="395"/>
      <c r="G100" s="395">
        <v>22744.876348999998</v>
      </c>
      <c r="H100" s="395">
        <v>3082.6087750000002</v>
      </c>
      <c r="I100" s="395">
        <v>0</v>
      </c>
      <c r="J100" s="395">
        <v>61921.449693000002</v>
      </c>
      <c r="K100" s="395">
        <v>9893.2337279999992</v>
      </c>
      <c r="L100" s="395">
        <v>6972.8182029999998</v>
      </c>
      <c r="M100" s="395"/>
      <c r="N100" s="395">
        <v>16495.083676999999</v>
      </c>
      <c r="O100" s="395">
        <v>2496.793482</v>
      </c>
      <c r="P100" s="395">
        <v>0</v>
      </c>
      <c r="Q100" s="395">
        <v>35857.929089999998</v>
      </c>
      <c r="R100" s="395">
        <v>36170.375527999997</v>
      </c>
      <c r="S100" s="395">
        <v>16789.640972000001</v>
      </c>
      <c r="T100" s="395"/>
      <c r="U100" s="395">
        <v>39239.960026000001</v>
      </c>
      <c r="V100" s="395">
        <v>5579.4022569999997</v>
      </c>
      <c r="W100" s="396">
        <v>0</v>
      </c>
      <c r="X100" s="395">
        <v>97779.378782999993</v>
      </c>
      <c r="Y100" s="397"/>
      <c r="Z100" s="325">
        <f t="shared" si="9"/>
        <v>2016</v>
      </c>
      <c r="AA100" s="394">
        <v>42461</v>
      </c>
      <c r="AB100" s="398">
        <f>'AUX UF'!C99</f>
        <v>25858.011666666702</v>
      </c>
      <c r="AC100" s="325">
        <f t="shared" si="7"/>
        <v>1.3988073017472902</v>
      </c>
      <c r="AD100" s="325">
        <f t="shared" si="7"/>
        <v>0.64930131475048236</v>
      </c>
      <c r="AE100" s="325">
        <f t="shared" si="7"/>
        <v>0</v>
      </c>
      <c r="AF100" s="325">
        <f t="shared" si="6"/>
        <v>1.5175165257034759</v>
      </c>
      <c r="AG100" s="325">
        <f t="shared" si="6"/>
        <v>0.21577073786351292</v>
      </c>
      <c r="AH100" s="325">
        <f t="shared" si="6"/>
        <v>0</v>
      </c>
      <c r="AI100" s="325">
        <f t="shared" si="6"/>
        <v>3.7813958800647609</v>
      </c>
      <c r="AJ100" s="447">
        <f t="shared" si="10"/>
        <v>2.3946717362194678</v>
      </c>
      <c r="AK100" s="447">
        <f t="shared" si="11"/>
        <v>1.3867241438452937</v>
      </c>
    </row>
    <row r="101" spans="2:37" s="63" customFormat="1" ht="12.75" x14ac:dyDescent="0.2">
      <c r="B101" s="325">
        <f t="shared" si="8"/>
        <v>2016</v>
      </c>
      <c r="C101" s="394">
        <v>42491</v>
      </c>
      <c r="D101" s="395">
        <v>26283.366634000002</v>
      </c>
      <c r="E101" s="395">
        <v>9711.5947849999993</v>
      </c>
      <c r="F101" s="395"/>
      <c r="G101" s="395">
        <v>23151.650998000001</v>
      </c>
      <c r="H101" s="395">
        <v>3071.4924169999999</v>
      </c>
      <c r="I101" s="395">
        <v>0</v>
      </c>
      <c r="J101" s="395">
        <v>62218.104833999998</v>
      </c>
      <c r="K101" s="395">
        <v>9890.3803669999998</v>
      </c>
      <c r="L101" s="395">
        <v>6930.8529310000004</v>
      </c>
      <c r="M101" s="395"/>
      <c r="N101" s="395">
        <v>16761.793857000001</v>
      </c>
      <c r="O101" s="395">
        <v>2484.64383</v>
      </c>
      <c r="P101" s="395">
        <v>0</v>
      </c>
      <c r="Q101" s="395">
        <v>36067.670984999997</v>
      </c>
      <c r="R101" s="395">
        <v>36173.747001000003</v>
      </c>
      <c r="S101" s="395">
        <v>16642.447715999999</v>
      </c>
      <c r="T101" s="395"/>
      <c r="U101" s="395">
        <v>39913.444855000002</v>
      </c>
      <c r="V101" s="395">
        <v>5556.1362470000004</v>
      </c>
      <c r="W101" s="396">
        <v>0</v>
      </c>
      <c r="X101" s="395">
        <v>98285.775819000002</v>
      </c>
      <c r="Y101" s="397"/>
      <c r="Z101" s="325">
        <f t="shared" si="9"/>
        <v>2016</v>
      </c>
      <c r="AA101" s="394">
        <v>42491</v>
      </c>
      <c r="AB101" s="398">
        <f>'AUX UF'!C100</f>
        <v>25954.3129032258</v>
      </c>
      <c r="AC101" s="325">
        <f t="shared" si="7"/>
        <v>1.3937470483568091</v>
      </c>
      <c r="AD101" s="325">
        <f t="shared" si="7"/>
        <v>0.64122089373175228</v>
      </c>
      <c r="AE101" s="325">
        <f t="shared" si="7"/>
        <v>0</v>
      </c>
      <c r="AF101" s="325">
        <f t="shared" si="6"/>
        <v>1.5378347715781471</v>
      </c>
      <c r="AG101" s="325">
        <f t="shared" si="6"/>
        <v>0.21407371744791753</v>
      </c>
      <c r="AH101" s="325">
        <f t="shared" si="6"/>
        <v>0</v>
      </c>
      <c r="AI101" s="325">
        <f t="shared" si="6"/>
        <v>3.7868764311146257</v>
      </c>
      <c r="AJ101" s="447">
        <f t="shared" si="10"/>
        <v>2.3972164112372654</v>
      </c>
      <c r="AK101" s="447">
        <f t="shared" si="11"/>
        <v>1.3896600198773603</v>
      </c>
    </row>
    <row r="102" spans="2:37" s="63" customFormat="1" ht="12.75" x14ac:dyDescent="0.2">
      <c r="B102" s="325">
        <f t="shared" si="8"/>
        <v>2016</v>
      </c>
      <c r="C102" s="394">
        <v>42522</v>
      </c>
      <c r="D102" s="395">
        <v>26248.141976999999</v>
      </c>
      <c r="E102" s="395">
        <v>9835.3468929999999</v>
      </c>
      <c r="F102" s="395"/>
      <c r="G102" s="395">
        <v>22891.099246000002</v>
      </c>
      <c r="H102" s="395">
        <v>3064.223888</v>
      </c>
      <c r="I102" s="395">
        <v>0</v>
      </c>
      <c r="J102" s="395">
        <v>62038.812003999999</v>
      </c>
      <c r="K102" s="395">
        <v>9844.5393669999994</v>
      </c>
      <c r="L102" s="395">
        <v>6978.5502310000002</v>
      </c>
      <c r="M102" s="395"/>
      <c r="N102" s="395">
        <v>16626.167460000001</v>
      </c>
      <c r="O102" s="395">
        <v>2479.2212239999999</v>
      </c>
      <c r="P102" s="395">
        <v>0</v>
      </c>
      <c r="Q102" s="395">
        <v>35928.478281999996</v>
      </c>
      <c r="R102" s="395">
        <v>36092.681343999997</v>
      </c>
      <c r="S102" s="395">
        <v>16813.897123999999</v>
      </c>
      <c r="T102" s="395"/>
      <c r="U102" s="395">
        <v>39517.266706000002</v>
      </c>
      <c r="V102" s="395">
        <v>5543.4451120000003</v>
      </c>
      <c r="W102" s="396">
        <v>0</v>
      </c>
      <c r="X102" s="395">
        <v>97967.290286000003</v>
      </c>
      <c r="Y102" s="397"/>
      <c r="Z102" s="325">
        <f t="shared" si="9"/>
        <v>2016</v>
      </c>
      <c r="AA102" s="394">
        <v>42522</v>
      </c>
      <c r="AB102" s="398">
        <f>'AUX UF'!C101</f>
        <v>26025.992666666702</v>
      </c>
      <c r="AC102" s="325">
        <f t="shared" si="7"/>
        <v>1.3867936491900423</v>
      </c>
      <c r="AD102" s="325">
        <f t="shared" si="7"/>
        <v>0.64604249064953922</v>
      </c>
      <c r="AE102" s="325">
        <f t="shared" si="7"/>
        <v>0</v>
      </c>
      <c r="AF102" s="325">
        <f t="shared" si="6"/>
        <v>1.5183769246432053</v>
      </c>
      <c r="AG102" s="325">
        <f t="shared" si="6"/>
        <v>0.21299649096957887</v>
      </c>
      <c r="AH102" s="325">
        <f t="shared" si="6"/>
        <v>0</v>
      </c>
      <c r="AI102" s="325">
        <f t="shared" si="6"/>
        <v>3.764209555452366</v>
      </c>
      <c r="AJ102" s="447">
        <f t="shared" si="10"/>
        <v>2.383725101231486</v>
      </c>
      <c r="AK102" s="447">
        <f t="shared" si="11"/>
        <v>1.3804844542208796</v>
      </c>
    </row>
    <row r="103" spans="2:37" s="63" customFormat="1" ht="12.75" x14ac:dyDescent="0.2">
      <c r="B103" s="325">
        <f t="shared" si="8"/>
        <v>2016</v>
      </c>
      <c r="C103" s="394">
        <v>42552</v>
      </c>
      <c r="D103" s="395">
        <v>27334.633774000002</v>
      </c>
      <c r="E103" s="395">
        <v>10187.591693</v>
      </c>
      <c r="F103" s="395"/>
      <c r="G103" s="395">
        <v>24588.525248000002</v>
      </c>
      <c r="H103" s="395">
        <v>3195.5494610000001</v>
      </c>
      <c r="I103" s="395">
        <v>0</v>
      </c>
      <c r="J103" s="395">
        <v>65306.300175999997</v>
      </c>
      <c r="K103" s="395">
        <v>10262.112056</v>
      </c>
      <c r="L103" s="395">
        <v>7239.8161289999998</v>
      </c>
      <c r="M103" s="395"/>
      <c r="N103" s="395">
        <v>17844.580951</v>
      </c>
      <c r="O103" s="395">
        <v>2595.3107060000002</v>
      </c>
      <c r="P103" s="395">
        <v>0</v>
      </c>
      <c r="Q103" s="395">
        <v>37941.819841999997</v>
      </c>
      <c r="R103" s="395">
        <v>37596.74583</v>
      </c>
      <c r="S103" s="395">
        <v>17427.407822000001</v>
      </c>
      <c r="T103" s="395"/>
      <c r="U103" s="395">
        <v>42433.106199000002</v>
      </c>
      <c r="V103" s="395">
        <v>5790.8601669999998</v>
      </c>
      <c r="W103" s="396">
        <v>0</v>
      </c>
      <c r="X103" s="395">
        <v>103248.120018</v>
      </c>
      <c r="Y103" s="397"/>
      <c r="Z103" s="325">
        <f t="shared" si="9"/>
        <v>2016</v>
      </c>
      <c r="AA103" s="394">
        <v>42552</v>
      </c>
      <c r="AB103" s="398">
        <f>'AUX UF'!C102</f>
        <v>26093.0977419355</v>
      </c>
      <c r="AC103" s="325">
        <f t="shared" si="7"/>
        <v>1.4408693901290386</v>
      </c>
      <c r="AD103" s="325">
        <f t="shared" si="7"/>
        <v>0.66789340209275183</v>
      </c>
      <c r="AE103" s="325">
        <f t="shared" si="7"/>
        <v>0</v>
      </c>
      <c r="AF103" s="325">
        <f t="shared" si="6"/>
        <v>1.6262195703503486</v>
      </c>
      <c r="AG103" s="325">
        <f t="shared" si="6"/>
        <v>0.22193072759211813</v>
      </c>
      <c r="AH103" s="325">
        <f t="shared" si="6"/>
        <v>0</v>
      </c>
      <c r="AI103" s="325">
        <f t="shared" si="6"/>
        <v>3.9569130901642571</v>
      </c>
      <c r="AJ103" s="447">
        <f t="shared" si="10"/>
        <v>2.5028189761862976</v>
      </c>
      <c r="AK103" s="447">
        <f t="shared" si="11"/>
        <v>1.4540941139779595</v>
      </c>
    </row>
    <row r="104" spans="2:37" s="63" customFormat="1" ht="12.75" x14ac:dyDescent="0.2">
      <c r="B104" s="325">
        <f t="shared" si="8"/>
        <v>2016</v>
      </c>
      <c r="C104" s="394">
        <v>42583</v>
      </c>
      <c r="D104" s="395">
        <v>27356.818115999999</v>
      </c>
      <c r="E104" s="395">
        <v>10163.480960999999</v>
      </c>
      <c r="F104" s="395"/>
      <c r="G104" s="395">
        <v>24867.925234999999</v>
      </c>
      <c r="H104" s="395">
        <v>3192.667899</v>
      </c>
      <c r="I104" s="395">
        <v>0</v>
      </c>
      <c r="J104" s="395">
        <v>65580.892210999998</v>
      </c>
      <c r="K104" s="395">
        <v>10245.169739999999</v>
      </c>
      <c r="L104" s="395">
        <v>7211.9768439999998</v>
      </c>
      <c r="M104" s="395"/>
      <c r="N104" s="395">
        <v>17975.217672999999</v>
      </c>
      <c r="O104" s="395">
        <v>2586.2631310000002</v>
      </c>
      <c r="P104" s="395">
        <v>0</v>
      </c>
      <c r="Q104" s="395">
        <v>38018.627388000001</v>
      </c>
      <c r="R104" s="395">
        <v>37601.987856</v>
      </c>
      <c r="S104" s="395">
        <v>17375.457804999998</v>
      </c>
      <c r="T104" s="395"/>
      <c r="U104" s="395">
        <v>42843.142908000002</v>
      </c>
      <c r="V104" s="395">
        <v>5778.9310299999997</v>
      </c>
      <c r="W104" s="396">
        <v>0</v>
      </c>
      <c r="X104" s="395">
        <v>103599.51959900001</v>
      </c>
      <c r="Y104" s="397"/>
      <c r="Z104" s="325">
        <f t="shared" si="9"/>
        <v>2016</v>
      </c>
      <c r="AA104" s="394">
        <v>42583</v>
      </c>
      <c r="AB104" s="398">
        <f>'AUX UF'!C103</f>
        <v>26181.8209677419</v>
      </c>
      <c r="AC104" s="325">
        <f t="shared" si="7"/>
        <v>1.4361868833466038</v>
      </c>
      <c r="AD104" s="325">
        <f t="shared" si="7"/>
        <v>0.6636458872134201</v>
      </c>
      <c r="AE104" s="325">
        <f t="shared" si="7"/>
        <v>0</v>
      </c>
      <c r="AF104" s="325">
        <f t="shared" si="6"/>
        <v>1.6363698675041047</v>
      </c>
      <c r="AG104" s="325">
        <f t="shared" si="6"/>
        <v>0.22072303668717716</v>
      </c>
      <c r="AH104" s="325">
        <f t="shared" si="6"/>
        <v>0</v>
      </c>
      <c r="AI104" s="325">
        <f t="shared" si="6"/>
        <v>3.956925674751306</v>
      </c>
      <c r="AJ104" s="447">
        <f t="shared" si="10"/>
        <v>2.5048254776396535</v>
      </c>
      <c r="AK104" s="447">
        <f t="shared" si="11"/>
        <v>1.4521001971116523</v>
      </c>
    </row>
    <row r="105" spans="2:37" s="63" customFormat="1" ht="12.75" x14ac:dyDescent="0.2">
      <c r="B105" s="325">
        <f t="shared" si="8"/>
        <v>2016</v>
      </c>
      <c r="C105" s="394">
        <v>42614</v>
      </c>
      <c r="D105" s="395">
        <v>27343.619532000001</v>
      </c>
      <c r="E105" s="395">
        <v>10176.862099</v>
      </c>
      <c r="F105" s="395"/>
      <c r="G105" s="395">
        <v>25033.986455999999</v>
      </c>
      <c r="H105" s="395">
        <v>3175.0304850000002</v>
      </c>
      <c r="I105" s="395">
        <v>0</v>
      </c>
      <c r="J105" s="395">
        <v>65729.498571999997</v>
      </c>
      <c r="K105" s="395">
        <v>10238.296402</v>
      </c>
      <c r="L105" s="395">
        <v>7234.7261129999997</v>
      </c>
      <c r="M105" s="395"/>
      <c r="N105" s="395">
        <v>18029.193178000001</v>
      </c>
      <c r="O105" s="395">
        <v>2573.4339329999998</v>
      </c>
      <c r="P105" s="395">
        <v>0</v>
      </c>
      <c r="Q105" s="395">
        <v>38075.649625999999</v>
      </c>
      <c r="R105" s="395">
        <v>37581.915933999997</v>
      </c>
      <c r="S105" s="395">
        <v>17411.588211999999</v>
      </c>
      <c r="T105" s="395"/>
      <c r="U105" s="395">
        <v>43063.179634</v>
      </c>
      <c r="V105" s="395">
        <v>5748.4644179999996</v>
      </c>
      <c r="W105" s="396">
        <v>0</v>
      </c>
      <c r="X105" s="395">
        <v>103805.148198</v>
      </c>
      <c r="Y105" s="397"/>
      <c r="Z105" s="325">
        <f t="shared" si="9"/>
        <v>2016</v>
      </c>
      <c r="AA105" s="394">
        <v>42614</v>
      </c>
      <c r="AB105" s="398">
        <f>'AUX UF'!C104</f>
        <v>26222.2726666667</v>
      </c>
      <c r="AC105" s="325">
        <f t="shared" si="7"/>
        <v>1.4332059014005099</v>
      </c>
      <c r="AD105" s="325">
        <f t="shared" si="7"/>
        <v>0.66399996801700978</v>
      </c>
      <c r="AE105" s="325">
        <f t="shared" si="7"/>
        <v>0</v>
      </c>
      <c r="AF105" s="325">
        <f t="shared" si="6"/>
        <v>1.6422367420784687</v>
      </c>
      <c r="AG105" s="325">
        <f t="shared" si="6"/>
        <v>0.21922067896530373</v>
      </c>
      <c r="AH105" s="325">
        <f t="shared" si="6"/>
        <v>0</v>
      </c>
      <c r="AI105" s="325">
        <f t="shared" si="6"/>
        <v>3.958663290461292</v>
      </c>
      <c r="AJ105" s="447">
        <f t="shared" si="10"/>
        <v>2.5066285980449816</v>
      </c>
      <c r="AK105" s="447">
        <f t="shared" si="11"/>
        <v>1.4520346924163101</v>
      </c>
    </row>
    <row r="106" spans="2:37" s="63" customFormat="1" ht="12.75" x14ac:dyDescent="0.2">
      <c r="B106" s="325">
        <f t="shared" si="8"/>
        <v>2016</v>
      </c>
      <c r="C106" s="394">
        <v>42644</v>
      </c>
      <c r="D106" s="395">
        <v>27312.508570999998</v>
      </c>
      <c r="E106" s="395">
        <v>10176.916761</v>
      </c>
      <c r="F106" s="395"/>
      <c r="G106" s="395">
        <v>25096.386040000001</v>
      </c>
      <c r="H106" s="395">
        <v>3174.2563439999999</v>
      </c>
      <c r="I106" s="395">
        <v>0</v>
      </c>
      <c r="J106" s="395">
        <v>65760.067716000005</v>
      </c>
      <c r="K106" s="395">
        <v>10186.060552000001</v>
      </c>
      <c r="L106" s="395">
        <v>7264.7837559999998</v>
      </c>
      <c r="M106" s="395"/>
      <c r="N106" s="395">
        <v>18068.775129000001</v>
      </c>
      <c r="O106" s="395">
        <v>2567.63625</v>
      </c>
      <c r="P106" s="395">
        <v>0</v>
      </c>
      <c r="Q106" s="395">
        <v>38087.255686999997</v>
      </c>
      <c r="R106" s="395">
        <v>37498.569123000001</v>
      </c>
      <c r="S106" s="395">
        <v>17441.700517000001</v>
      </c>
      <c r="T106" s="395"/>
      <c r="U106" s="395">
        <v>43165.161168999999</v>
      </c>
      <c r="V106" s="395">
        <v>5741.8925939999999</v>
      </c>
      <c r="W106" s="396">
        <v>0</v>
      </c>
      <c r="X106" s="395">
        <v>103847.323403</v>
      </c>
      <c r="Y106" s="397"/>
      <c r="Z106" s="325">
        <f t="shared" si="9"/>
        <v>2016</v>
      </c>
      <c r="AA106" s="394">
        <v>42644</v>
      </c>
      <c r="AB106" s="398">
        <f>'AUX UF'!C105</f>
        <v>26238.100967741899</v>
      </c>
      <c r="AC106" s="325">
        <f t="shared" si="7"/>
        <v>1.4291647543052808</v>
      </c>
      <c r="AD106" s="325">
        <f t="shared" si="7"/>
        <v>0.66474706147535145</v>
      </c>
      <c r="AE106" s="325">
        <f t="shared" si="7"/>
        <v>0</v>
      </c>
      <c r="AF106" s="325">
        <f t="shared" si="6"/>
        <v>1.6451328250496811</v>
      </c>
      <c r="AG106" s="325">
        <f t="shared" si="6"/>
        <v>0.21883796396161814</v>
      </c>
      <c r="AH106" s="325">
        <f t="shared" si="6"/>
        <v>0</v>
      </c>
      <c r="AI106" s="325">
        <f t="shared" si="6"/>
        <v>3.9578826047919313</v>
      </c>
      <c r="AJ106" s="447">
        <f t="shared" si="10"/>
        <v>2.5062815253606918</v>
      </c>
      <c r="AK106" s="447">
        <f t="shared" si="11"/>
        <v>1.4516010794312397</v>
      </c>
    </row>
    <row r="107" spans="2:37" s="63" customFormat="1" ht="12.75" x14ac:dyDescent="0.2">
      <c r="B107" s="325">
        <f t="shared" si="8"/>
        <v>2016</v>
      </c>
      <c r="C107" s="394">
        <v>42675</v>
      </c>
      <c r="D107" s="395">
        <v>27514.86681</v>
      </c>
      <c r="E107" s="395">
        <v>10194.658315999999</v>
      </c>
      <c r="F107" s="395"/>
      <c r="G107" s="395">
        <v>25579.163465000001</v>
      </c>
      <c r="H107" s="395">
        <v>3174.1451740000002</v>
      </c>
      <c r="I107" s="395">
        <v>0</v>
      </c>
      <c r="J107" s="395">
        <v>66462.833765000003</v>
      </c>
      <c r="K107" s="395">
        <v>10249.108498</v>
      </c>
      <c r="L107" s="395">
        <v>7283.7531920000001</v>
      </c>
      <c r="M107" s="395"/>
      <c r="N107" s="395">
        <v>18306.691760000002</v>
      </c>
      <c r="O107" s="395">
        <v>2564.748517</v>
      </c>
      <c r="P107" s="395">
        <v>0</v>
      </c>
      <c r="Q107" s="395">
        <v>38404.301966999999</v>
      </c>
      <c r="R107" s="395">
        <v>37763.975308000001</v>
      </c>
      <c r="S107" s="395">
        <v>17478.411508000001</v>
      </c>
      <c r="T107" s="395"/>
      <c r="U107" s="395">
        <v>43885.855224999999</v>
      </c>
      <c r="V107" s="395">
        <v>5738.8936910000002</v>
      </c>
      <c r="W107" s="396">
        <v>0</v>
      </c>
      <c r="X107" s="395">
        <v>104867.135732</v>
      </c>
      <c r="Y107" s="397"/>
      <c r="Z107" s="325">
        <f t="shared" si="9"/>
        <v>2016</v>
      </c>
      <c r="AA107" s="394">
        <v>42675</v>
      </c>
      <c r="AB107" s="398">
        <f>'AUX UF'!C106</f>
        <v>26288.1996666667</v>
      </c>
      <c r="AC107" s="325">
        <f t="shared" si="7"/>
        <v>1.4365371454434184</v>
      </c>
      <c r="AD107" s="325">
        <f t="shared" si="7"/>
        <v>0.66487670246063046</v>
      </c>
      <c r="AE107" s="325">
        <f t="shared" si="7"/>
        <v>0</v>
      </c>
      <c r="AF107" s="325">
        <f t="shared" si="6"/>
        <v>1.6694127320041257</v>
      </c>
      <c r="AG107" s="325">
        <f t="shared" si="6"/>
        <v>0.21830683590998767</v>
      </c>
      <c r="AH107" s="325">
        <f t="shared" si="6"/>
        <v>0</v>
      </c>
      <c r="AI107" s="325">
        <f t="shared" ref="AI107:AI170" si="12">+X107/$AB107</f>
        <v>3.9891334158181619</v>
      </c>
      <c r="AJ107" s="447">
        <f t="shared" si="10"/>
        <v>2.5282383201491934</v>
      </c>
      <c r="AK107" s="447">
        <f t="shared" si="11"/>
        <v>1.4608950956689686</v>
      </c>
    </row>
    <row r="108" spans="2:37" s="63" customFormat="1" ht="12.75" x14ac:dyDescent="0.2">
      <c r="B108" s="325">
        <f t="shared" si="8"/>
        <v>2016</v>
      </c>
      <c r="C108" s="394">
        <v>42705</v>
      </c>
      <c r="D108" s="395">
        <v>27294.187395000001</v>
      </c>
      <c r="E108" s="395">
        <v>10100.605296</v>
      </c>
      <c r="F108" s="395"/>
      <c r="G108" s="395">
        <v>25463.423946999999</v>
      </c>
      <c r="H108" s="395">
        <v>3175.9704820000002</v>
      </c>
      <c r="I108" s="395">
        <v>0</v>
      </c>
      <c r="J108" s="395">
        <v>66034.187120000002</v>
      </c>
      <c r="K108" s="395">
        <v>10158.205178</v>
      </c>
      <c r="L108" s="395">
        <v>7227.2283420000003</v>
      </c>
      <c r="M108" s="395"/>
      <c r="N108" s="395">
        <v>18209.781609000001</v>
      </c>
      <c r="O108" s="395">
        <v>2584.1819399999999</v>
      </c>
      <c r="P108" s="395">
        <v>0</v>
      </c>
      <c r="Q108" s="395">
        <v>38179.397068999999</v>
      </c>
      <c r="R108" s="395">
        <v>37452.392572999997</v>
      </c>
      <c r="S108" s="395">
        <v>17327.833638</v>
      </c>
      <c r="T108" s="395"/>
      <c r="U108" s="395">
        <v>43673.205556000001</v>
      </c>
      <c r="V108" s="395">
        <v>5760.1524220000001</v>
      </c>
      <c r="W108" s="396">
        <v>0</v>
      </c>
      <c r="X108" s="395">
        <v>104213.584189</v>
      </c>
      <c r="Y108" s="397"/>
      <c r="Z108" s="325">
        <f t="shared" si="9"/>
        <v>2016</v>
      </c>
      <c r="AA108" s="394">
        <v>42705</v>
      </c>
      <c r="AB108" s="398">
        <f>'AUX UF'!C107</f>
        <v>26334.194516128999</v>
      </c>
      <c r="AC108" s="325">
        <f t="shared" si="7"/>
        <v>1.4221962456478932</v>
      </c>
      <c r="AD108" s="325">
        <f t="shared" si="7"/>
        <v>0.65799748032495009</v>
      </c>
      <c r="AE108" s="325">
        <f t="shared" si="7"/>
        <v>0</v>
      </c>
      <c r="AF108" s="325">
        <f t="shared" si="7"/>
        <v>1.658421924743182</v>
      </c>
      <c r="AG108" s="325">
        <f t="shared" si="7"/>
        <v>0.21873281214172163</v>
      </c>
      <c r="AH108" s="325">
        <f t="shared" si="7"/>
        <v>0</v>
      </c>
      <c r="AI108" s="325">
        <f t="shared" si="12"/>
        <v>3.9573484628577469</v>
      </c>
      <c r="AJ108" s="447">
        <f t="shared" si="10"/>
        <v>2.5075453543701824</v>
      </c>
      <c r="AK108" s="447">
        <f t="shared" si="11"/>
        <v>1.4498031084875647</v>
      </c>
    </row>
    <row r="109" spans="2:37" s="63" customFormat="1" ht="12.75" x14ac:dyDescent="0.2">
      <c r="B109" s="325">
        <f t="shared" si="8"/>
        <v>2017</v>
      </c>
      <c r="C109" s="394">
        <v>42736</v>
      </c>
      <c r="D109" s="395">
        <v>30181.828090999999</v>
      </c>
      <c r="E109" s="395">
        <v>11179.74568</v>
      </c>
      <c r="F109" s="395"/>
      <c r="G109" s="395">
        <v>28092.849912999998</v>
      </c>
      <c r="H109" s="395">
        <v>3510.1198709999999</v>
      </c>
      <c r="I109" s="395">
        <v>0</v>
      </c>
      <c r="J109" s="395">
        <v>72964.543554999997</v>
      </c>
      <c r="K109" s="395">
        <v>11205.597277000001</v>
      </c>
      <c r="L109" s="395">
        <v>7984.6612690000002</v>
      </c>
      <c r="M109" s="395"/>
      <c r="N109" s="395">
        <v>20062.643259</v>
      </c>
      <c r="O109" s="395">
        <v>2863.9418089999999</v>
      </c>
      <c r="P109" s="395">
        <v>0</v>
      </c>
      <c r="Q109" s="395">
        <v>42116.843613999998</v>
      </c>
      <c r="R109" s="395">
        <v>41387.425367999997</v>
      </c>
      <c r="S109" s="395">
        <v>19164.406949</v>
      </c>
      <c r="T109" s="395"/>
      <c r="U109" s="395">
        <v>48155.493172000002</v>
      </c>
      <c r="V109" s="395">
        <v>6374.0616799999998</v>
      </c>
      <c r="W109" s="396">
        <v>0</v>
      </c>
      <c r="X109" s="395">
        <v>115081.38716899999</v>
      </c>
      <c r="Y109" s="397"/>
      <c r="Z109" s="325">
        <f t="shared" si="9"/>
        <v>2017</v>
      </c>
      <c r="AA109" s="394">
        <v>42736</v>
      </c>
      <c r="AB109" s="398">
        <f>'AUX UF'!C108</f>
        <v>26340.7580645161</v>
      </c>
      <c r="AC109" s="325">
        <f t="shared" ref="AC109:AH154" si="13">+R109/$AB109</f>
        <v>1.5712313695236211</v>
      </c>
      <c r="AD109" s="325">
        <f t="shared" si="13"/>
        <v>0.7275571531411833</v>
      </c>
      <c r="AE109" s="325">
        <f t="shared" si="13"/>
        <v>0</v>
      </c>
      <c r="AF109" s="325">
        <f t="shared" si="13"/>
        <v>1.8281741571010726</v>
      </c>
      <c r="AG109" s="325">
        <f t="shared" si="13"/>
        <v>0.24198474715071175</v>
      </c>
      <c r="AH109" s="325">
        <f t="shared" si="13"/>
        <v>0</v>
      </c>
      <c r="AI109" s="325">
        <f t="shared" si="12"/>
        <v>4.3689474269165887</v>
      </c>
      <c r="AJ109" s="447">
        <f t="shared" si="10"/>
        <v>2.7700244380320727</v>
      </c>
      <c r="AK109" s="447">
        <f t="shared" si="11"/>
        <v>1.5989229888845158</v>
      </c>
    </row>
    <row r="110" spans="2:37" s="63" customFormat="1" ht="12.75" x14ac:dyDescent="0.2">
      <c r="B110" s="325">
        <f t="shared" si="8"/>
        <v>2017</v>
      </c>
      <c r="C110" s="394">
        <v>42767</v>
      </c>
      <c r="D110" s="395">
        <v>30217.329634999998</v>
      </c>
      <c r="E110" s="395">
        <v>11123.442542999999</v>
      </c>
      <c r="F110" s="395"/>
      <c r="G110" s="395">
        <v>27978.911712000001</v>
      </c>
      <c r="H110" s="395">
        <v>3504.8482840000001</v>
      </c>
      <c r="I110" s="395">
        <v>0</v>
      </c>
      <c r="J110" s="395">
        <v>72824.532174000007</v>
      </c>
      <c r="K110" s="395">
        <v>11200.708741</v>
      </c>
      <c r="L110" s="395">
        <v>7966.3530140000003</v>
      </c>
      <c r="M110" s="395"/>
      <c r="N110" s="395">
        <v>20023.786872000001</v>
      </c>
      <c r="O110" s="395">
        <v>2851.8661790000001</v>
      </c>
      <c r="P110" s="395">
        <v>0</v>
      </c>
      <c r="Q110" s="395">
        <v>42042.714806000004</v>
      </c>
      <c r="R110" s="395">
        <v>41418.038375999997</v>
      </c>
      <c r="S110" s="395">
        <v>19089.795557000001</v>
      </c>
      <c r="T110" s="395"/>
      <c r="U110" s="395">
        <v>48002.698583999998</v>
      </c>
      <c r="V110" s="395">
        <v>6356.7144630000003</v>
      </c>
      <c r="W110" s="396">
        <v>0</v>
      </c>
      <c r="X110" s="395">
        <v>114867.24698</v>
      </c>
      <c r="Y110" s="397"/>
      <c r="Z110" s="325">
        <f t="shared" si="9"/>
        <v>2017</v>
      </c>
      <c r="AA110" s="394">
        <v>42767</v>
      </c>
      <c r="AB110" s="398">
        <f>'AUX UF'!C109</f>
        <v>26336.933928571401</v>
      </c>
      <c r="AC110" s="325">
        <f t="shared" si="13"/>
        <v>1.5726218734621946</v>
      </c>
      <c r="AD110" s="325">
        <f t="shared" si="13"/>
        <v>0.72482983815707558</v>
      </c>
      <c r="AE110" s="325">
        <f t="shared" si="13"/>
        <v>0</v>
      </c>
      <c r="AF110" s="325">
        <f t="shared" si="13"/>
        <v>1.8226380760261798</v>
      </c>
      <c r="AG110" s="325">
        <f t="shared" si="13"/>
        <v>0.24136121844099598</v>
      </c>
      <c r="AH110" s="325">
        <f t="shared" si="13"/>
        <v>0</v>
      </c>
      <c r="AI110" s="325">
        <f t="shared" si="12"/>
        <v>4.3614510060864458</v>
      </c>
      <c r="AJ110" s="447">
        <f t="shared" si="10"/>
        <v>2.7651104859627158</v>
      </c>
      <c r="AK110" s="447">
        <f t="shared" si="11"/>
        <v>1.5963405201237308</v>
      </c>
    </row>
    <row r="111" spans="2:37" s="63" customFormat="1" ht="12.75" x14ac:dyDescent="0.2">
      <c r="B111" s="325">
        <f t="shared" si="8"/>
        <v>2017</v>
      </c>
      <c r="C111" s="394">
        <v>42795</v>
      </c>
      <c r="D111" s="395">
        <v>30159.711812000001</v>
      </c>
      <c r="E111" s="395">
        <v>11150.465453999999</v>
      </c>
      <c r="F111" s="395"/>
      <c r="G111" s="395">
        <v>27879.944389</v>
      </c>
      <c r="H111" s="395">
        <v>3489.1062910000001</v>
      </c>
      <c r="I111" s="395">
        <v>0</v>
      </c>
      <c r="J111" s="395">
        <v>72679.227945999999</v>
      </c>
      <c r="K111" s="395">
        <v>11183.322639</v>
      </c>
      <c r="L111" s="395">
        <v>8005.6760439999998</v>
      </c>
      <c r="M111" s="395"/>
      <c r="N111" s="395">
        <v>20054.637782999998</v>
      </c>
      <c r="O111" s="395">
        <v>2844.9202959999998</v>
      </c>
      <c r="P111" s="395">
        <v>0</v>
      </c>
      <c r="Q111" s="395">
        <v>42088.556762</v>
      </c>
      <c r="R111" s="395">
        <v>41343.034451</v>
      </c>
      <c r="S111" s="395">
        <v>19156.141498000001</v>
      </c>
      <c r="T111" s="395"/>
      <c r="U111" s="395">
        <v>47934.582172000002</v>
      </c>
      <c r="V111" s="395">
        <v>6334.0265870000003</v>
      </c>
      <c r="W111" s="396">
        <v>0</v>
      </c>
      <c r="X111" s="395">
        <v>114767.78470800001</v>
      </c>
      <c r="Y111" s="397"/>
      <c r="Z111" s="325">
        <f t="shared" si="9"/>
        <v>2017</v>
      </c>
      <c r="AA111" s="394">
        <v>42795</v>
      </c>
      <c r="AB111" s="398">
        <f>'AUX UF'!C110</f>
        <v>26442.877096774198</v>
      </c>
      <c r="AC111" s="325">
        <f t="shared" si="13"/>
        <v>1.5634847259507738</v>
      </c>
      <c r="AD111" s="325">
        <f t="shared" si="13"/>
        <v>0.72443484224100874</v>
      </c>
      <c r="AE111" s="325">
        <f t="shared" si="13"/>
        <v>0</v>
      </c>
      <c r="AF111" s="325">
        <f t="shared" si="13"/>
        <v>1.812759708278779</v>
      </c>
      <c r="AG111" s="325">
        <f t="shared" si="13"/>
        <v>0.23953621097352892</v>
      </c>
      <c r="AH111" s="325">
        <f t="shared" si="13"/>
        <v>0</v>
      </c>
      <c r="AI111" s="325">
        <f t="shared" si="12"/>
        <v>4.340215487444091</v>
      </c>
      <c r="AJ111" s="447">
        <f t="shared" si="10"/>
        <v>2.7485370703048888</v>
      </c>
      <c r="AK111" s="447">
        <f t="shared" si="11"/>
        <v>1.5916784171392016</v>
      </c>
    </row>
    <row r="112" spans="2:37" s="63" customFormat="1" ht="12.75" x14ac:dyDescent="0.2">
      <c r="B112" s="325">
        <f t="shared" si="8"/>
        <v>2017</v>
      </c>
      <c r="C112" s="394">
        <v>42826</v>
      </c>
      <c r="D112" s="395">
        <v>30265.242558999998</v>
      </c>
      <c r="E112" s="395">
        <v>11107.828563999999</v>
      </c>
      <c r="F112" s="395"/>
      <c r="G112" s="395">
        <v>28196.861346000002</v>
      </c>
      <c r="H112" s="395">
        <v>3493.294386</v>
      </c>
      <c r="I112" s="395">
        <v>0</v>
      </c>
      <c r="J112" s="395">
        <v>73063.226855000001</v>
      </c>
      <c r="K112" s="395">
        <v>11222.038177</v>
      </c>
      <c r="L112" s="395">
        <v>7999.4809249999998</v>
      </c>
      <c r="M112" s="395"/>
      <c r="N112" s="395">
        <v>20253.871109</v>
      </c>
      <c r="O112" s="395">
        <v>2843.5357370000002</v>
      </c>
      <c r="P112" s="395">
        <v>0</v>
      </c>
      <c r="Q112" s="395">
        <v>42318.925947999996</v>
      </c>
      <c r="R112" s="395">
        <v>41487.280736000001</v>
      </c>
      <c r="S112" s="395">
        <v>19107.309488999999</v>
      </c>
      <c r="T112" s="395"/>
      <c r="U112" s="395">
        <v>48450.732454999998</v>
      </c>
      <c r="V112" s="395">
        <v>6336.8301229999997</v>
      </c>
      <c r="W112" s="396">
        <v>0</v>
      </c>
      <c r="X112" s="395">
        <v>115382.152803</v>
      </c>
      <c r="Y112" s="397"/>
      <c r="Z112" s="325">
        <f t="shared" si="9"/>
        <v>2017</v>
      </c>
      <c r="AA112" s="394">
        <v>42826</v>
      </c>
      <c r="AB112" s="398">
        <f>'AUX UF'!C111</f>
        <v>26512.416666666701</v>
      </c>
      <c r="AC112" s="325">
        <f t="shared" si="13"/>
        <v>1.5648245596622947</v>
      </c>
      <c r="AD112" s="325">
        <f t="shared" si="13"/>
        <v>0.72069286362050389</v>
      </c>
      <c r="AE112" s="325">
        <f t="shared" si="13"/>
        <v>0</v>
      </c>
      <c r="AF112" s="325">
        <f t="shared" si="13"/>
        <v>1.8274732576874333</v>
      </c>
      <c r="AG112" s="325">
        <f t="shared" si="13"/>
        <v>0.23901367433498108</v>
      </c>
      <c r="AH112" s="325">
        <f t="shared" si="13"/>
        <v>0</v>
      </c>
      <c r="AI112" s="325">
        <f t="shared" si="12"/>
        <v>4.3520043553052128</v>
      </c>
      <c r="AJ112" s="447">
        <f t="shared" si="10"/>
        <v>2.7558116551049943</v>
      </c>
      <c r="AK112" s="447">
        <f t="shared" si="11"/>
        <v>1.5961927002002185</v>
      </c>
    </row>
    <row r="113" spans="2:37" s="63" customFormat="1" ht="12.75" x14ac:dyDescent="0.2">
      <c r="B113" s="325">
        <f t="shared" si="8"/>
        <v>2017</v>
      </c>
      <c r="C113" s="394">
        <v>42856</v>
      </c>
      <c r="D113" s="395">
        <v>30358.785506</v>
      </c>
      <c r="E113" s="395">
        <v>11177.250921999999</v>
      </c>
      <c r="F113" s="395"/>
      <c r="G113" s="395">
        <v>28398.884397000002</v>
      </c>
      <c r="H113" s="395">
        <v>3489.3395569999998</v>
      </c>
      <c r="I113" s="395">
        <v>0</v>
      </c>
      <c r="J113" s="395">
        <v>73424.260381999993</v>
      </c>
      <c r="K113" s="395">
        <v>11242.735608000001</v>
      </c>
      <c r="L113" s="395">
        <v>8031.0062090000001</v>
      </c>
      <c r="M113" s="395"/>
      <c r="N113" s="395">
        <v>20421.904557999998</v>
      </c>
      <c r="O113" s="395">
        <v>2844.5040239999998</v>
      </c>
      <c r="P113" s="395">
        <v>0</v>
      </c>
      <c r="Q113" s="395">
        <v>42540.150398999998</v>
      </c>
      <c r="R113" s="395">
        <v>41601.521114000003</v>
      </c>
      <c r="S113" s="395">
        <v>19208.257130999998</v>
      </c>
      <c r="T113" s="395"/>
      <c r="U113" s="395">
        <v>48820.788955000004</v>
      </c>
      <c r="V113" s="395">
        <v>6333.8435810000001</v>
      </c>
      <c r="W113" s="396">
        <v>0</v>
      </c>
      <c r="X113" s="395">
        <v>115964.410781</v>
      </c>
      <c r="Y113" s="397"/>
      <c r="Z113" s="325">
        <f t="shared" si="9"/>
        <v>2017</v>
      </c>
      <c r="AA113" s="394">
        <v>42856</v>
      </c>
      <c r="AB113" s="398">
        <f>'AUX UF'!C112</f>
        <v>26603.1374193548</v>
      </c>
      <c r="AC113" s="325">
        <f t="shared" si="13"/>
        <v>1.5637825140027772</v>
      </c>
      <c r="AD113" s="325">
        <f t="shared" si="13"/>
        <v>0.72202976770045391</v>
      </c>
      <c r="AE113" s="325">
        <f t="shared" si="13"/>
        <v>0</v>
      </c>
      <c r="AF113" s="325">
        <f t="shared" si="13"/>
        <v>1.8351515531954141</v>
      </c>
      <c r="AG113" s="325">
        <f t="shared" si="13"/>
        <v>0.23808633850802449</v>
      </c>
      <c r="AH113" s="325">
        <f t="shared" si="13"/>
        <v>0</v>
      </c>
      <c r="AI113" s="325">
        <f t="shared" si="12"/>
        <v>4.3590501734066693</v>
      </c>
      <c r="AJ113" s="447">
        <f t="shared" si="10"/>
        <v>2.7599850057001563</v>
      </c>
      <c r="AK113" s="447">
        <f t="shared" si="11"/>
        <v>1.5990651677065131</v>
      </c>
    </row>
    <row r="114" spans="2:37" s="63" customFormat="1" ht="12.75" x14ac:dyDescent="0.2">
      <c r="B114" s="325">
        <f t="shared" si="8"/>
        <v>2017</v>
      </c>
      <c r="C114" s="394">
        <v>42887</v>
      </c>
      <c r="D114" s="395">
        <v>30108.905911999998</v>
      </c>
      <c r="E114" s="395">
        <v>11086.367743999999</v>
      </c>
      <c r="F114" s="395"/>
      <c r="G114" s="395">
        <v>28506.998823000002</v>
      </c>
      <c r="H114" s="395">
        <v>3494.063541</v>
      </c>
      <c r="I114" s="395">
        <v>0</v>
      </c>
      <c r="J114" s="395">
        <v>73196.336020000002</v>
      </c>
      <c r="K114" s="395">
        <v>11134.611296999999</v>
      </c>
      <c r="L114" s="395">
        <v>7980.1902440000003</v>
      </c>
      <c r="M114" s="395"/>
      <c r="N114" s="395">
        <v>20410.585298999998</v>
      </c>
      <c r="O114" s="395">
        <v>2850.1990679999999</v>
      </c>
      <c r="P114" s="395">
        <v>0</v>
      </c>
      <c r="Q114" s="395">
        <v>42375.585908000001</v>
      </c>
      <c r="R114" s="395">
        <v>41243.517208999998</v>
      </c>
      <c r="S114" s="395">
        <v>19066.557988</v>
      </c>
      <c r="T114" s="395"/>
      <c r="U114" s="395">
        <v>48917.584122</v>
      </c>
      <c r="V114" s="395">
        <v>6344.2626090000003</v>
      </c>
      <c r="W114" s="396">
        <v>0</v>
      </c>
      <c r="X114" s="395">
        <v>115571.921928</v>
      </c>
      <c r="Y114" s="397"/>
      <c r="Z114" s="325">
        <f t="shared" si="9"/>
        <v>2017</v>
      </c>
      <c r="AA114" s="394">
        <v>42887</v>
      </c>
      <c r="AB114" s="398">
        <f>'AUX UF'!C113</f>
        <v>26651.216</v>
      </c>
      <c r="AC114" s="325">
        <f t="shared" si="13"/>
        <v>1.5475285333697344</v>
      </c>
      <c r="AD114" s="325">
        <f t="shared" si="13"/>
        <v>0.71541043335508592</v>
      </c>
      <c r="AE114" s="325">
        <f t="shared" si="13"/>
        <v>0</v>
      </c>
      <c r="AF114" s="325">
        <f t="shared" si="13"/>
        <v>1.8354728775602585</v>
      </c>
      <c r="AG114" s="325">
        <f t="shared" si="13"/>
        <v>0.23804777271701225</v>
      </c>
      <c r="AH114" s="325">
        <f t="shared" si="13"/>
        <v>0</v>
      </c>
      <c r="AI114" s="325">
        <f t="shared" si="12"/>
        <v>4.3364596170020908</v>
      </c>
      <c r="AJ114" s="447">
        <f t="shared" si="10"/>
        <v>2.7464538961374219</v>
      </c>
      <c r="AK114" s="447">
        <f t="shared" si="11"/>
        <v>1.590005720864669</v>
      </c>
    </row>
    <row r="115" spans="2:37" s="63" customFormat="1" ht="12.75" x14ac:dyDescent="0.2">
      <c r="B115" s="325">
        <f t="shared" si="8"/>
        <v>2017</v>
      </c>
      <c r="C115" s="394">
        <v>42917</v>
      </c>
      <c r="D115" s="395">
        <v>30909.688848000002</v>
      </c>
      <c r="E115" s="395">
        <v>11429.949522000001</v>
      </c>
      <c r="F115" s="395"/>
      <c r="G115" s="395">
        <v>29820.947832999998</v>
      </c>
      <c r="H115" s="395">
        <v>3569.6957809999999</v>
      </c>
      <c r="I115" s="395">
        <v>0</v>
      </c>
      <c r="J115" s="395">
        <v>75730.281984000001</v>
      </c>
      <c r="K115" s="395">
        <v>11439.017330999999</v>
      </c>
      <c r="L115" s="395">
        <v>8221.9904879999995</v>
      </c>
      <c r="M115" s="395"/>
      <c r="N115" s="395">
        <v>21475.352471999999</v>
      </c>
      <c r="O115" s="395">
        <v>2915.6748090000001</v>
      </c>
      <c r="P115" s="395">
        <v>0</v>
      </c>
      <c r="Q115" s="395">
        <v>44052.035100000001</v>
      </c>
      <c r="R115" s="395">
        <v>42348.706179000001</v>
      </c>
      <c r="S115" s="395">
        <v>19651.940009999998</v>
      </c>
      <c r="T115" s="395"/>
      <c r="U115" s="395">
        <v>51296.300304999997</v>
      </c>
      <c r="V115" s="395">
        <v>6485.3705900000004</v>
      </c>
      <c r="W115" s="396">
        <v>0</v>
      </c>
      <c r="X115" s="395">
        <v>119782.31708399999</v>
      </c>
      <c r="Y115" s="397"/>
      <c r="Z115" s="325">
        <f t="shared" si="9"/>
        <v>2017</v>
      </c>
      <c r="AA115" s="394">
        <v>42917</v>
      </c>
      <c r="AB115" s="398">
        <f>'AUX UF'!C114</f>
        <v>26643.940322580602</v>
      </c>
      <c r="AC115" s="325">
        <f t="shared" si="13"/>
        <v>1.5894310551022248</v>
      </c>
      <c r="AD115" s="325">
        <f t="shared" si="13"/>
        <v>0.73757634088922952</v>
      </c>
      <c r="AE115" s="325">
        <f t="shared" si="13"/>
        <v>0</v>
      </c>
      <c r="AF115" s="325">
        <f t="shared" si="13"/>
        <v>1.925252034194306</v>
      </c>
      <c r="AG115" s="325">
        <f t="shared" si="13"/>
        <v>0.24340883936388652</v>
      </c>
      <c r="AH115" s="325">
        <f t="shared" si="13"/>
        <v>0</v>
      </c>
      <c r="AI115" s="325">
        <f t="shared" si="12"/>
        <v>4.4956682695496468</v>
      </c>
      <c r="AJ115" s="447">
        <f t="shared" si="10"/>
        <v>2.8423078969223998</v>
      </c>
      <c r="AK115" s="447">
        <f t="shared" si="11"/>
        <v>1.6533603726272472</v>
      </c>
    </row>
    <row r="116" spans="2:37" s="63" customFormat="1" ht="12.75" x14ac:dyDescent="0.2">
      <c r="B116" s="325">
        <f t="shared" si="8"/>
        <v>2017</v>
      </c>
      <c r="C116" s="394">
        <v>42948</v>
      </c>
      <c r="D116" s="395">
        <v>30743.653221</v>
      </c>
      <c r="E116" s="395">
        <v>11358.625695999999</v>
      </c>
      <c r="F116" s="395"/>
      <c r="G116" s="395">
        <v>29744.478147999998</v>
      </c>
      <c r="H116" s="395">
        <v>3550.2455690000002</v>
      </c>
      <c r="I116" s="395">
        <v>0</v>
      </c>
      <c r="J116" s="395">
        <v>75397.002634000004</v>
      </c>
      <c r="K116" s="395">
        <v>11341.866701000001</v>
      </c>
      <c r="L116" s="395">
        <v>8166.6297249999998</v>
      </c>
      <c r="M116" s="395"/>
      <c r="N116" s="395">
        <v>21403.202716</v>
      </c>
      <c r="O116" s="395">
        <v>2916.3546059999999</v>
      </c>
      <c r="P116" s="395">
        <v>0</v>
      </c>
      <c r="Q116" s="395">
        <v>43828.053747999998</v>
      </c>
      <c r="R116" s="395">
        <v>42085.519921999999</v>
      </c>
      <c r="S116" s="395">
        <v>19525.255421000002</v>
      </c>
      <c r="T116" s="395"/>
      <c r="U116" s="395">
        <v>51147.680864000002</v>
      </c>
      <c r="V116" s="395">
        <v>6466.6001749999996</v>
      </c>
      <c r="W116" s="396">
        <v>0</v>
      </c>
      <c r="X116" s="395">
        <v>119225.056382</v>
      </c>
      <c r="Y116" s="397"/>
      <c r="Z116" s="325">
        <f t="shared" si="9"/>
        <v>2017</v>
      </c>
      <c r="AA116" s="394">
        <v>42948</v>
      </c>
      <c r="AB116" s="398">
        <f>'AUX UF'!C115</f>
        <v>26584.37</v>
      </c>
      <c r="AC116" s="325">
        <f t="shared" si="13"/>
        <v>1.5830926187831422</v>
      </c>
      <c r="AD116" s="325">
        <f t="shared" si="13"/>
        <v>0.73446372515128255</v>
      </c>
      <c r="AE116" s="325">
        <f t="shared" si="13"/>
        <v>0</v>
      </c>
      <c r="AF116" s="325">
        <f t="shared" si="13"/>
        <v>1.9239756617892394</v>
      </c>
      <c r="AG116" s="325">
        <f t="shared" si="13"/>
        <v>0.24324820091655358</v>
      </c>
      <c r="AH116" s="325">
        <f t="shared" si="13"/>
        <v>0</v>
      </c>
      <c r="AI116" s="325">
        <f t="shared" si="12"/>
        <v>4.4847802066402176</v>
      </c>
      <c r="AJ116" s="447">
        <f t="shared" si="10"/>
        <v>2.8361402822034152</v>
      </c>
      <c r="AK116" s="447">
        <f t="shared" si="11"/>
        <v>1.6486399244368026</v>
      </c>
    </row>
    <row r="117" spans="2:37" s="63" customFormat="1" ht="12.75" x14ac:dyDescent="0.2">
      <c r="B117" s="325">
        <f t="shared" si="8"/>
        <v>2017</v>
      </c>
      <c r="C117" s="394">
        <v>42979</v>
      </c>
      <c r="D117" s="395">
        <v>30723.767349999998</v>
      </c>
      <c r="E117" s="395">
        <v>11325.332109000001</v>
      </c>
      <c r="F117" s="395"/>
      <c r="G117" s="395">
        <v>29976.170539999999</v>
      </c>
      <c r="H117" s="395">
        <v>3535.5663300000001</v>
      </c>
      <c r="I117" s="395">
        <v>0</v>
      </c>
      <c r="J117" s="395">
        <v>75560.836328999998</v>
      </c>
      <c r="K117" s="395">
        <v>11320.778404999999</v>
      </c>
      <c r="L117" s="395">
        <v>8175.0774439999996</v>
      </c>
      <c r="M117" s="395"/>
      <c r="N117" s="395">
        <v>21478.966999</v>
      </c>
      <c r="O117" s="395">
        <v>2901.9953970000001</v>
      </c>
      <c r="P117" s="395">
        <v>0</v>
      </c>
      <c r="Q117" s="395">
        <v>43876.818245000002</v>
      </c>
      <c r="R117" s="395">
        <v>42044.545754999999</v>
      </c>
      <c r="S117" s="395">
        <v>19500.409553000001</v>
      </c>
      <c r="T117" s="395"/>
      <c r="U117" s="395">
        <v>51455.137539000003</v>
      </c>
      <c r="V117" s="395">
        <v>6437.5617270000002</v>
      </c>
      <c r="W117" s="396">
        <v>0</v>
      </c>
      <c r="X117" s="395">
        <v>119437.654574</v>
      </c>
      <c r="Y117" s="397"/>
      <c r="Z117" s="325">
        <f t="shared" si="9"/>
        <v>2017</v>
      </c>
      <c r="AA117" s="394">
        <v>42979</v>
      </c>
      <c r="AB117" s="398">
        <f>'AUX UF'!C116</f>
        <v>26631.130666666701</v>
      </c>
      <c r="AC117" s="325">
        <f t="shared" si="13"/>
        <v>1.5787743404986465</v>
      </c>
      <c r="AD117" s="325">
        <f t="shared" si="13"/>
        <v>0.73224114278437358</v>
      </c>
      <c r="AE117" s="325">
        <f t="shared" si="13"/>
        <v>0</v>
      </c>
      <c r="AF117" s="325">
        <f t="shared" si="13"/>
        <v>1.9321424307156694</v>
      </c>
      <c r="AG117" s="325">
        <f t="shared" si="13"/>
        <v>0.24173069508677233</v>
      </c>
      <c r="AH117" s="325">
        <f t="shared" si="13"/>
        <v>0</v>
      </c>
      <c r="AI117" s="325">
        <f t="shared" si="12"/>
        <v>4.4848886090854618</v>
      </c>
      <c r="AJ117" s="447">
        <f t="shared" si="10"/>
        <v>2.8373123647948217</v>
      </c>
      <c r="AK117" s="447">
        <f t="shared" si="11"/>
        <v>1.6475762442906396</v>
      </c>
    </row>
    <row r="118" spans="2:37" s="63" customFormat="1" ht="12.75" x14ac:dyDescent="0.2">
      <c r="B118" s="325">
        <f t="shared" si="8"/>
        <v>2017</v>
      </c>
      <c r="C118" s="394">
        <v>43009</v>
      </c>
      <c r="D118" s="395">
        <v>30745.74368</v>
      </c>
      <c r="E118" s="395">
        <v>11317.809192000001</v>
      </c>
      <c r="F118" s="395"/>
      <c r="G118" s="395">
        <v>30342.106068000001</v>
      </c>
      <c r="H118" s="395">
        <v>3546.9122309999998</v>
      </c>
      <c r="I118" s="395">
        <v>0</v>
      </c>
      <c r="J118" s="395">
        <v>75952.571171000003</v>
      </c>
      <c r="K118" s="395">
        <v>11313.546112</v>
      </c>
      <c r="L118" s="395">
        <v>8186.2532259999998</v>
      </c>
      <c r="M118" s="395"/>
      <c r="N118" s="395">
        <v>21719.831152999999</v>
      </c>
      <c r="O118" s="395">
        <v>2901.9941960000001</v>
      </c>
      <c r="P118" s="395">
        <v>0</v>
      </c>
      <c r="Q118" s="395">
        <v>44121.624687000003</v>
      </c>
      <c r="R118" s="395">
        <v>42059.289792000003</v>
      </c>
      <c r="S118" s="395">
        <v>19504.062418000001</v>
      </c>
      <c r="T118" s="395"/>
      <c r="U118" s="395">
        <v>52061.937221</v>
      </c>
      <c r="V118" s="395">
        <v>6448.9064269999999</v>
      </c>
      <c r="W118" s="396">
        <v>0</v>
      </c>
      <c r="X118" s="395">
        <v>120074.19585800001</v>
      </c>
      <c r="Y118" s="397"/>
      <c r="Z118" s="325">
        <f t="shared" si="9"/>
        <v>2017</v>
      </c>
      <c r="AA118" s="394">
        <v>43009</v>
      </c>
      <c r="AB118" s="398">
        <f>'AUX UF'!C117</f>
        <v>26656.655483871</v>
      </c>
      <c r="AC118" s="325">
        <f t="shared" si="13"/>
        <v>1.5778157097558092</v>
      </c>
      <c r="AD118" s="325">
        <f t="shared" si="13"/>
        <v>0.73167702639219767</v>
      </c>
      <c r="AE118" s="325">
        <f t="shared" si="13"/>
        <v>0</v>
      </c>
      <c r="AF118" s="325">
        <f t="shared" si="13"/>
        <v>1.9530558607587076</v>
      </c>
      <c r="AG118" s="325">
        <f t="shared" si="13"/>
        <v>0.2419248142701925</v>
      </c>
      <c r="AH118" s="325">
        <f t="shared" si="13"/>
        <v>0</v>
      </c>
      <c r="AI118" s="325">
        <f t="shared" si="12"/>
        <v>4.5044734111769067</v>
      </c>
      <c r="AJ118" s="447">
        <f t="shared" si="10"/>
        <v>2.8492910979382322</v>
      </c>
      <c r="AK118" s="447">
        <f t="shared" si="11"/>
        <v>1.6551823132386747</v>
      </c>
    </row>
    <row r="119" spans="2:37" s="63" customFormat="1" ht="12.75" x14ac:dyDescent="0.2">
      <c r="B119" s="325">
        <f t="shared" si="8"/>
        <v>2017</v>
      </c>
      <c r="C119" s="394">
        <v>43040</v>
      </c>
      <c r="D119" s="395">
        <v>30772.771949000002</v>
      </c>
      <c r="E119" s="395">
        <v>11360.429267</v>
      </c>
      <c r="F119" s="395"/>
      <c r="G119" s="395">
        <v>30540.62113</v>
      </c>
      <c r="H119" s="395">
        <v>3535.9588800000001</v>
      </c>
      <c r="I119" s="395">
        <v>0</v>
      </c>
      <c r="J119" s="395">
        <v>76209.781226000006</v>
      </c>
      <c r="K119" s="395">
        <v>11306.55694</v>
      </c>
      <c r="L119" s="395">
        <v>8187.8399980000004</v>
      </c>
      <c r="M119" s="395"/>
      <c r="N119" s="395">
        <v>21792.278573</v>
      </c>
      <c r="O119" s="395">
        <v>2902.0619339999998</v>
      </c>
      <c r="P119" s="395">
        <v>0</v>
      </c>
      <c r="Q119" s="395">
        <v>44188.737444999999</v>
      </c>
      <c r="R119" s="395">
        <v>42079.328888999997</v>
      </c>
      <c r="S119" s="395">
        <v>19548.269264999999</v>
      </c>
      <c r="T119" s="395"/>
      <c r="U119" s="395">
        <v>52332.899703000003</v>
      </c>
      <c r="V119" s="395">
        <v>6438.0208140000004</v>
      </c>
      <c r="W119" s="396">
        <v>0</v>
      </c>
      <c r="X119" s="395">
        <v>120398.518671</v>
      </c>
      <c r="Y119" s="397"/>
      <c r="Z119" s="325">
        <f t="shared" si="9"/>
        <v>2017</v>
      </c>
      <c r="AA119" s="394">
        <v>43040</v>
      </c>
      <c r="AB119" s="398">
        <f>'AUX UF'!C118</f>
        <v>26662.4136666667</v>
      </c>
      <c r="AC119" s="325">
        <f t="shared" si="13"/>
        <v>1.5782265407429146</v>
      </c>
      <c r="AD119" s="325">
        <f t="shared" si="13"/>
        <v>0.73317703000907264</v>
      </c>
      <c r="AE119" s="325">
        <f t="shared" si="13"/>
        <v>0</v>
      </c>
      <c r="AF119" s="325">
        <f t="shared" si="13"/>
        <v>1.9627967804140138</v>
      </c>
      <c r="AG119" s="325">
        <f t="shared" si="13"/>
        <v>0.24146429106112033</v>
      </c>
      <c r="AH119" s="325">
        <f t="shared" si="13"/>
        <v>0</v>
      </c>
      <c r="AI119" s="325">
        <f t="shared" si="12"/>
        <v>4.5156646422271214</v>
      </c>
      <c r="AJ119" s="447">
        <f t="shared" si="10"/>
        <v>2.8583226627106657</v>
      </c>
      <c r="AK119" s="447">
        <f t="shared" si="11"/>
        <v>1.6573419795164561</v>
      </c>
    </row>
    <row r="120" spans="2:37" s="63" customFormat="1" ht="12.75" x14ac:dyDescent="0.2">
      <c r="B120" s="325">
        <f t="shared" si="8"/>
        <v>2017</v>
      </c>
      <c r="C120" s="394">
        <v>43070</v>
      </c>
      <c r="D120" s="395">
        <v>30842.449317999999</v>
      </c>
      <c r="E120" s="395">
        <v>11317.4642</v>
      </c>
      <c r="F120" s="395"/>
      <c r="G120" s="395">
        <v>30810.925061000002</v>
      </c>
      <c r="H120" s="395">
        <v>3527.6213440000001</v>
      </c>
      <c r="I120" s="395">
        <v>0</v>
      </c>
      <c r="J120" s="395">
        <v>76498.459923000002</v>
      </c>
      <c r="K120" s="395">
        <v>11305.880567</v>
      </c>
      <c r="L120" s="395">
        <v>8185.0134749999997</v>
      </c>
      <c r="M120" s="395"/>
      <c r="N120" s="395">
        <v>21952.336185</v>
      </c>
      <c r="O120" s="395">
        <v>2890.0501519999998</v>
      </c>
      <c r="P120" s="395">
        <v>0</v>
      </c>
      <c r="Q120" s="395">
        <v>44333.280379000003</v>
      </c>
      <c r="R120" s="395">
        <v>42148.329884999999</v>
      </c>
      <c r="S120" s="395">
        <v>19502.477674999998</v>
      </c>
      <c r="T120" s="395"/>
      <c r="U120" s="395">
        <v>52763.261246000002</v>
      </c>
      <c r="V120" s="395">
        <v>6417.6714959999999</v>
      </c>
      <c r="W120" s="396">
        <v>0</v>
      </c>
      <c r="X120" s="395">
        <v>120831.74030200001</v>
      </c>
      <c r="Y120" s="397"/>
      <c r="Z120" s="325">
        <f t="shared" si="9"/>
        <v>2017</v>
      </c>
      <c r="AA120" s="394">
        <v>43070</v>
      </c>
      <c r="AB120" s="398">
        <f>'AUX UF'!C119</f>
        <v>26779.989677419399</v>
      </c>
      <c r="AC120" s="325">
        <f t="shared" si="13"/>
        <v>1.5738740153637558</v>
      </c>
      <c r="AD120" s="325">
        <f t="shared" si="13"/>
        <v>0.72824814011949679</v>
      </c>
      <c r="AE120" s="325">
        <f t="shared" si="13"/>
        <v>0</v>
      </c>
      <c r="AF120" s="325">
        <f t="shared" si="13"/>
        <v>1.9702494990313391</v>
      </c>
      <c r="AG120" s="325">
        <f t="shared" si="13"/>
        <v>0.23964428565151061</v>
      </c>
      <c r="AH120" s="325">
        <f t="shared" si="13"/>
        <v>0</v>
      </c>
      <c r="AI120" s="325">
        <f t="shared" si="12"/>
        <v>4.5120159401661022</v>
      </c>
      <c r="AJ120" s="447">
        <f t="shared" si="10"/>
        <v>2.8565530026138393</v>
      </c>
      <c r="AK120" s="447">
        <f t="shared" si="11"/>
        <v>1.6554629375522631</v>
      </c>
    </row>
    <row r="121" spans="2:37" s="63" customFormat="1" ht="12.75" x14ac:dyDescent="0.2">
      <c r="B121" s="325">
        <f t="shared" si="8"/>
        <v>2018</v>
      </c>
      <c r="C121" s="394">
        <v>43101</v>
      </c>
      <c r="D121" s="395">
        <v>30821.601516999999</v>
      </c>
      <c r="E121" s="395">
        <v>11314.814767</v>
      </c>
      <c r="F121" s="395"/>
      <c r="G121" s="395">
        <v>31016.005504000001</v>
      </c>
      <c r="H121" s="395">
        <v>3527.1210430000001</v>
      </c>
      <c r="I121" s="395">
        <v>0</v>
      </c>
      <c r="J121" s="395">
        <v>76679.542830999999</v>
      </c>
      <c r="K121" s="395">
        <v>11291.373357</v>
      </c>
      <c r="L121" s="395">
        <v>8208.0343720000001</v>
      </c>
      <c r="M121" s="395"/>
      <c r="N121" s="395">
        <v>22079.706386000002</v>
      </c>
      <c r="O121" s="395">
        <v>2896.9769209999999</v>
      </c>
      <c r="P121" s="395">
        <v>0</v>
      </c>
      <c r="Q121" s="395">
        <v>44476.091035999998</v>
      </c>
      <c r="R121" s="395">
        <v>42112.974874</v>
      </c>
      <c r="S121" s="395">
        <v>19522.849139000002</v>
      </c>
      <c r="T121" s="395"/>
      <c r="U121" s="395">
        <v>53095.711889999999</v>
      </c>
      <c r="V121" s="395">
        <v>6424.0979639999996</v>
      </c>
      <c r="W121" s="396">
        <v>0</v>
      </c>
      <c r="X121" s="395">
        <v>121155.633867</v>
      </c>
      <c r="Y121" s="397"/>
      <c r="Z121" s="325">
        <f t="shared" si="9"/>
        <v>2018</v>
      </c>
      <c r="AA121" s="394">
        <v>43101</v>
      </c>
      <c r="AB121" s="398">
        <f>'AUX UF'!C120</f>
        <v>26811.971612903199</v>
      </c>
      <c r="AC121" s="325">
        <f t="shared" si="13"/>
        <v>1.5706780344990827</v>
      </c>
      <c r="AD121" s="325">
        <f t="shared" si="13"/>
        <v>0.72813925886765729</v>
      </c>
      <c r="AE121" s="325">
        <f t="shared" si="13"/>
        <v>0</v>
      </c>
      <c r="AF121" s="325">
        <f t="shared" si="13"/>
        <v>1.9802986761498662</v>
      </c>
      <c r="AG121" s="325">
        <f t="shared" si="13"/>
        <v>0.23959811895774266</v>
      </c>
      <c r="AH121" s="325">
        <f t="shared" si="13"/>
        <v>0</v>
      </c>
      <c r="AI121" s="325">
        <f t="shared" si="12"/>
        <v>4.5187140884743489</v>
      </c>
      <c r="AJ121" s="447">
        <f t="shared" si="10"/>
        <v>2.8598994485768494</v>
      </c>
      <c r="AK121" s="447">
        <f t="shared" si="11"/>
        <v>1.6588146398974994</v>
      </c>
    </row>
    <row r="122" spans="2:37" s="63" customFormat="1" ht="12.75" x14ac:dyDescent="0.2">
      <c r="B122" s="325">
        <f t="shared" si="8"/>
        <v>2018</v>
      </c>
      <c r="C122" s="394">
        <v>43132</v>
      </c>
      <c r="D122" s="395">
        <v>30887.435579000001</v>
      </c>
      <c r="E122" s="395">
        <v>11341.823281000001</v>
      </c>
      <c r="F122" s="395"/>
      <c r="G122" s="395">
        <v>30974.827267000001</v>
      </c>
      <c r="H122" s="395">
        <v>3521.2353280000002</v>
      </c>
      <c r="I122" s="395">
        <v>0</v>
      </c>
      <c r="J122" s="395">
        <v>76725.321454999998</v>
      </c>
      <c r="K122" s="395">
        <v>11303.846643000001</v>
      </c>
      <c r="L122" s="395">
        <v>8210.3930839999994</v>
      </c>
      <c r="M122" s="395"/>
      <c r="N122" s="395">
        <v>22141.134330000001</v>
      </c>
      <c r="O122" s="395">
        <v>2906.0619270000002</v>
      </c>
      <c r="P122" s="395">
        <v>0</v>
      </c>
      <c r="Q122" s="395">
        <v>44561.435984000003</v>
      </c>
      <c r="R122" s="395">
        <v>42191.282222000002</v>
      </c>
      <c r="S122" s="395">
        <v>19552.216365</v>
      </c>
      <c r="T122" s="395"/>
      <c r="U122" s="395">
        <v>53115.961597000001</v>
      </c>
      <c r="V122" s="395">
        <v>6427.2972550000004</v>
      </c>
      <c r="W122" s="396">
        <v>0</v>
      </c>
      <c r="X122" s="395">
        <v>121286.75743899999</v>
      </c>
      <c r="Y122" s="397"/>
      <c r="Z122" s="325">
        <f t="shared" si="9"/>
        <v>2018</v>
      </c>
      <c r="AA122" s="394">
        <v>43132</v>
      </c>
      <c r="AB122" s="398">
        <f>'AUX UF'!C121</f>
        <v>26864.088214285701</v>
      </c>
      <c r="AC122" s="325">
        <f t="shared" si="13"/>
        <v>1.5705458486234294</v>
      </c>
      <c r="AD122" s="325">
        <f t="shared" si="13"/>
        <v>0.72781983922322679</v>
      </c>
      <c r="AE122" s="325">
        <f t="shared" si="13"/>
        <v>0</v>
      </c>
      <c r="AF122" s="325">
        <f t="shared" si="13"/>
        <v>1.9772106603176713</v>
      </c>
      <c r="AG122" s="325">
        <f t="shared" si="13"/>
        <v>0.2392523879363273</v>
      </c>
      <c r="AH122" s="325">
        <f t="shared" si="13"/>
        <v>0</v>
      </c>
      <c r="AI122" s="325">
        <f t="shared" si="12"/>
        <v>4.5148287361006547</v>
      </c>
      <c r="AJ122" s="447">
        <f t="shared" si="10"/>
        <v>2.856055297428604</v>
      </c>
      <c r="AK122" s="447">
        <f t="shared" si="11"/>
        <v>1.6587734386720507</v>
      </c>
    </row>
    <row r="123" spans="2:37" s="63" customFormat="1" ht="12.75" x14ac:dyDescent="0.2">
      <c r="B123" s="325">
        <f t="shared" si="8"/>
        <v>2018</v>
      </c>
      <c r="C123" s="394">
        <v>43160</v>
      </c>
      <c r="D123" s="395">
        <v>31011.594394</v>
      </c>
      <c r="E123" s="395">
        <v>11363.102843999999</v>
      </c>
      <c r="F123" s="395"/>
      <c r="G123" s="395">
        <v>31717.601551</v>
      </c>
      <c r="H123" s="395">
        <v>3578.3916340000001</v>
      </c>
      <c r="I123" s="395">
        <v>0</v>
      </c>
      <c r="J123" s="395">
        <v>77670.690422999993</v>
      </c>
      <c r="K123" s="395">
        <v>11315.557212</v>
      </c>
      <c r="L123" s="395">
        <v>8254.6110809999991</v>
      </c>
      <c r="M123" s="395"/>
      <c r="N123" s="395">
        <v>22568.380043000001</v>
      </c>
      <c r="O123" s="395">
        <v>2952.5550389999999</v>
      </c>
      <c r="P123" s="395">
        <v>0</v>
      </c>
      <c r="Q123" s="395">
        <v>45091.103374999999</v>
      </c>
      <c r="R123" s="395">
        <v>42327.151605999999</v>
      </c>
      <c r="S123" s="395">
        <v>19617.713925</v>
      </c>
      <c r="T123" s="395"/>
      <c r="U123" s="395">
        <v>54285.981593999997</v>
      </c>
      <c r="V123" s="395">
        <v>6530.9466730000004</v>
      </c>
      <c r="W123" s="396">
        <v>0</v>
      </c>
      <c r="X123" s="395">
        <v>122761.793798</v>
      </c>
      <c r="Y123" s="397"/>
      <c r="Z123" s="325">
        <f t="shared" si="9"/>
        <v>2018</v>
      </c>
      <c r="AA123" s="394">
        <v>43160</v>
      </c>
      <c r="AB123" s="398">
        <f>'AUX UF'!C122</f>
        <v>26961.315806451599</v>
      </c>
      <c r="AC123" s="325">
        <f t="shared" si="13"/>
        <v>1.5699215835701719</v>
      </c>
      <c r="AD123" s="325">
        <f t="shared" si="13"/>
        <v>0.72762449970285425</v>
      </c>
      <c r="AE123" s="325">
        <f t="shared" si="13"/>
        <v>0</v>
      </c>
      <c r="AF123" s="325">
        <f t="shared" si="13"/>
        <v>2.0134767154431628</v>
      </c>
      <c r="AG123" s="325">
        <f t="shared" si="13"/>
        <v>0.24223397403465019</v>
      </c>
      <c r="AH123" s="325">
        <f t="shared" si="13"/>
        <v>0</v>
      </c>
      <c r="AI123" s="325">
        <f t="shared" si="12"/>
        <v>4.5532567727508395</v>
      </c>
      <c r="AJ123" s="447">
        <f t="shared" si="10"/>
        <v>2.8808197263285682</v>
      </c>
      <c r="AK123" s="447">
        <f t="shared" si="11"/>
        <v>1.6724370464222709</v>
      </c>
    </row>
    <row r="124" spans="2:37" s="63" customFormat="1" ht="12.75" x14ac:dyDescent="0.2">
      <c r="B124" s="325">
        <f t="shared" si="8"/>
        <v>2018</v>
      </c>
      <c r="C124" s="394">
        <v>43191</v>
      </c>
      <c r="D124" s="395">
        <v>31066.575741000001</v>
      </c>
      <c r="E124" s="395">
        <v>11319.278009</v>
      </c>
      <c r="F124" s="395"/>
      <c r="G124" s="395">
        <v>32183.666956000001</v>
      </c>
      <c r="H124" s="395">
        <v>3587.0543710000002</v>
      </c>
      <c r="I124" s="395">
        <v>0</v>
      </c>
      <c r="J124" s="395">
        <v>78156.575077000001</v>
      </c>
      <c r="K124" s="395">
        <v>11326.559341</v>
      </c>
      <c r="L124" s="395">
        <v>8218.3418039999997</v>
      </c>
      <c r="M124" s="395"/>
      <c r="N124" s="395">
        <v>22802.667323999998</v>
      </c>
      <c r="O124" s="395">
        <v>2955.3260070000001</v>
      </c>
      <c r="P124" s="395">
        <v>0</v>
      </c>
      <c r="Q124" s="395">
        <v>45302.894476000001</v>
      </c>
      <c r="R124" s="395">
        <v>42393.135082000001</v>
      </c>
      <c r="S124" s="395">
        <v>19537.619813000001</v>
      </c>
      <c r="T124" s="395"/>
      <c r="U124" s="395">
        <v>54986.334280000003</v>
      </c>
      <c r="V124" s="395">
        <v>6542.3803779999998</v>
      </c>
      <c r="W124" s="396">
        <v>0</v>
      </c>
      <c r="X124" s="395">
        <v>123459.469553</v>
      </c>
      <c r="Y124" s="397"/>
      <c r="Z124" s="325">
        <f t="shared" si="9"/>
        <v>2018</v>
      </c>
      <c r="AA124" s="394">
        <v>43191</v>
      </c>
      <c r="AB124" s="398">
        <f>'AUX UF'!C123</f>
        <v>26980.725666666702</v>
      </c>
      <c r="AC124" s="325">
        <f t="shared" si="13"/>
        <v>1.5712377645340554</v>
      </c>
      <c r="AD124" s="325">
        <f t="shared" si="13"/>
        <v>0.72413248088199955</v>
      </c>
      <c r="AE124" s="325">
        <f t="shared" si="13"/>
        <v>0</v>
      </c>
      <c r="AF124" s="325">
        <f t="shared" si="13"/>
        <v>2.0379857443172029</v>
      </c>
      <c r="AG124" s="325">
        <f t="shared" si="13"/>
        <v>0.24248348464855318</v>
      </c>
      <c r="AH124" s="325">
        <f t="shared" si="13"/>
        <v>0</v>
      </c>
      <c r="AI124" s="325">
        <f t="shared" si="12"/>
        <v>4.5758394743818114</v>
      </c>
      <c r="AJ124" s="447">
        <f t="shared" si="10"/>
        <v>2.8967558561094755</v>
      </c>
      <c r="AK124" s="447">
        <f t="shared" si="11"/>
        <v>1.6790836182723357</v>
      </c>
    </row>
    <row r="125" spans="2:37" s="63" customFormat="1" ht="12.75" x14ac:dyDescent="0.2">
      <c r="B125" s="325">
        <f t="shared" si="8"/>
        <v>2018</v>
      </c>
      <c r="C125" s="394">
        <v>43221</v>
      </c>
      <c r="D125" s="395">
        <v>31105.473312999999</v>
      </c>
      <c r="E125" s="395">
        <v>11330.715125999999</v>
      </c>
      <c r="F125" s="395"/>
      <c r="G125" s="395">
        <v>32299.686548999998</v>
      </c>
      <c r="H125" s="395">
        <v>3628.4501129999999</v>
      </c>
      <c r="I125" s="395">
        <v>0</v>
      </c>
      <c r="J125" s="395">
        <v>78364.325100999995</v>
      </c>
      <c r="K125" s="395">
        <v>11334.878193</v>
      </c>
      <c r="L125" s="395">
        <v>8233.198789</v>
      </c>
      <c r="M125" s="395"/>
      <c r="N125" s="395">
        <v>22971.107953999999</v>
      </c>
      <c r="O125" s="395">
        <v>2998.8564620000002</v>
      </c>
      <c r="P125" s="395">
        <v>0</v>
      </c>
      <c r="Q125" s="395">
        <v>45538.041398000001</v>
      </c>
      <c r="R125" s="395">
        <v>42440.351505999999</v>
      </c>
      <c r="S125" s="395">
        <v>19563.913915000001</v>
      </c>
      <c r="T125" s="395"/>
      <c r="U125" s="395">
        <v>55270.794502999997</v>
      </c>
      <c r="V125" s="395">
        <v>6627.3065749999996</v>
      </c>
      <c r="W125" s="396">
        <v>0</v>
      </c>
      <c r="X125" s="395">
        <v>123902.366499</v>
      </c>
      <c r="Y125" s="397"/>
      <c r="Z125" s="325">
        <f t="shared" si="9"/>
        <v>2018</v>
      </c>
      <c r="AA125" s="394">
        <v>43221</v>
      </c>
      <c r="AB125" s="398">
        <f>'AUX UF'!C124</f>
        <v>27040.055806451601</v>
      </c>
      <c r="AC125" s="325">
        <f t="shared" si="13"/>
        <v>1.5695363874165518</v>
      </c>
      <c r="AD125" s="325">
        <f t="shared" si="13"/>
        <v>0.72351603321514468</v>
      </c>
      <c r="AE125" s="325">
        <f t="shared" si="13"/>
        <v>0</v>
      </c>
      <c r="AF125" s="325">
        <f t="shared" si="13"/>
        <v>2.0440340396713497</v>
      </c>
      <c r="AG125" s="325">
        <f t="shared" si="13"/>
        <v>0.24509219294653833</v>
      </c>
      <c r="AH125" s="325">
        <f t="shared" si="13"/>
        <v>0</v>
      </c>
      <c r="AI125" s="325">
        <f t="shared" si="12"/>
        <v>4.5821786532495841</v>
      </c>
      <c r="AJ125" s="447">
        <f t="shared" si="10"/>
        <v>2.8980829648399884</v>
      </c>
      <c r="AK125" s="447">
        <f t="shared" si="11"/>
        <v>1.6840956884095959</v>
      </c>
    </row>
    <row r="126" spans="2:37" s="63" customFormat="1" ht="12.75" x14ac:dyDescent="0.2">
      <c r="B126" s="325">
        <f t="shared" si="8"/>
        <v>2018</v>
      </c>
      <c r="C126" s="394">
        <v>43252</v>
      </c>
      <c r="D126" s="395">
        <v>31138.783287999999</v>
      </c>
      <c r="E126" s="395">
        <v>11375.228519</v>
      </c>
      <c r="F126" s="395"/>
      <c r="G126" s="395">
        <v>32539.504044000001</v>
      </c>
      <c r="H126" s="395">
        <v>3624.5299810000001</v>
      </c>
      <c r="I126" s="395">
        <v>0</v>
      </c>
      <c r="J126" s="395">
        <v>78678.045832000003</v>
      </c>
      <c r="K126" s="395">
        <v>11326.077616</v>
      </c>
      <c r="L126" s="395">
        <v>8251.2882069999996</v>
      </c>
      <c r="M126" s="395"/>
      <c r="N126" s="395">
        <v>23198.800916</v>
      </c>
      <c r="O126" s="395">
        <v>2990.7514580000002</v>
      </c>
      <c r="P126" s="395">
        <v>0</v>
      </c>
      <c r="Q126" s="395">
        <v>45766.918196999999</v>
      </c>
      <c r="R126" s="395">
        <v>42464.860904000001</v>
      </c>
      <c r="S126" s="395">
        <v>19626.516726000002</v>
      </c>
      <c r="T126" s="395"/>
      <c r="U126" s="395">
        <v>55738.304960000001</v>
      </c>
      <c r="V126" s="395">
        <v>6615.2814390000003</v>
      </c>
      <c r="W126" s="396">
        <v>0</v>
      </c>
      <c r="X126" s="395">
        <v>124444.964029</v>
      </c>
      <c r="Y126" s="397"/>
      <c r="Z126" s="325">
        <f t="shared" si="9"/>
        <v>2018</v>
      </c>
      <c r="AA126" s="394">
        <v>43252</v>
      </c>
      <c r="AB126" s="398">
        <f>'AUX UF'!C125</f>
        <v>27119.5906666667</v>
      </c>
      <c r="AC126" s="325">
        <f t="shared" si="13"/>
        <v>1.5658370889865427</v>
      </c>
      <c r="AD126" s="325">
        <f t="shared" si="13"/>
        <v>0.72370254283090618</v>
      </c>
      <c r="AE126" s="325">
        <f t="shared" si="13"/>
        <v>0</v>
      </c>
      <c r="AF126" s="325">
        <f t="shared" si="13"/>
        <v>2.0552782541998029</v>
      </c>
      <c r="AG126" s="325">
        <f t="shared" si="13"/>
        <v>0.2439299884836017</v>
      </c>
      <c r="AH126" s="325">
        <f t="shared" si="13"/>
        <v>0</v>
      </c>
      <c r="AI126" s="325">
        <f t="shared" si="12"/>
        <v>4.5887478745008536</v>
      </c>
      <c r="AJ126" s="447">
        <f t="shared" si="10"/>
        <v>2.9011516729382265</v>
      </c>
      <c r="AK126" s="447">
        <f t="shared" si="11"/>
        <v>1.6875962015626271</v>
      </c>
    </row>
    <row r="127" spans="2:37" s="63" customFormat="1" ht="12.75" x14ac:dyDescent="0.2">
      <c r="B127" s="325">
        <f t="shared" si="8"/>
        <v>2018</v>
      </c>
      <c r="C127" s="394">
        <v>43282</v>
      </c>
      <c r="D127" s="395">
        <v>31945.149120999999</v>
      </c>
      <c r="E127" s="395">
        <v>11612.497614</v>
      </c>
      <c r="F127" s="395"/>
      <c r="G127" s="395">
        <v>34093.858626000001</v>
      </c>
      <c r="H127" s="395">
        <v>3714.8830389999998</v>
      </c>
      <c r="I127" s="395">
        <v>0</v>
      </c>
      <c r="J127" s="395">
        <v>81366.388399999996</v>
      </c>
      <c r="K127" s="395">
        <v>11586.116785</v>
      </c>
      <c r="L127" s="395">
        <v>8457.3957090000004</v>
      </c>
      <c r="M127" s="395"/>
      <c r="N127" s="395">
        <v>24308.135318000001</v>
      </c>
      <c r="O127" s="395">
        <v>3080.0560380000002</v>
      </c>
      <c r="P127" s="395">
        <v>0</v>
      </c>
      <c r="Q127" s="395">
        <v>47431.703849999998</v>
      </c>
      <c r="R127" s="395">
        <v>43531.265906000001</v>
      </c>
      <c r="S127" s="395">
        <v>20069.893323</v>
      </c>
      <c r="T127" s="395"/>
      <c r="U127" s="395">
        <v>58401.993944000002</v>
      </c>
      <c r="V127" s="395">
        <v>6794.939077</v>
      </c>
      <c r="W127" s="396">
        <v>0</v>
      </c>
      <c r="X127" s="395">
        <v>128798.09225</v>
      </c>
      <c r="Y127" s="397"/>
      <c r="Z127" s="325">
        <f t="shared" si="9"/>
        <v>2018</v>
      </c>
      <c r="AA127" s="394">
        <v>43282</v>
      </c>
      <c r="AB127" s="398">
        <f>'AUX UF'!C126</f>
        <v>27187.192580645202</v>
      </c>
      <c r="AC127" s="325">
        <f t="shared" si="13"/>
        <v>1.6011681153496624</v>
      </c>
      <c r="AD127" s="325">
        <f t="shared" si="13"/>
        <v>0.73821132003485834</v>
      </c>
      <c r="AE127" s="325">
        <f t="shared" si="13"/>
        <v>0</v>
      </c>
      <c r="AF127" s="325">
        <f t="shared" si="13"/>
        <v>2.148143607353445</v>
      </c>
      <c r="AG127" s="325">
        <f t="shared" si="13"/>
        <v>0.24993161970822159</v>
      </c>
      <c r="AH127" s="325">
        <f t="shared" si="13"/>
        <v>0</v>
      </c>
      <c r="AI127" s="325">
        <f t="shared" si="12"/>
        <v>4.7374546624461873</v>
      </c>
      <c r="AJ127" s="447">
        <f t="shared" si="10"/>
        <v>2.9928205407249528</v>
      </c>
      <c r="AK127" s="447">
        <f t="shared" si="11"/>
        <v>1.7446341217212342</v>
      </c>
    </row>
    <row r="128" spans="2:37" s="63" customFormat="1" ht="12.75" x14ac:dyDescent="0.2">
      <c r="B128" s="325">
        <f t="shared" si="8"/>
        <v>2018</v>
      </c>
      <c r="C128" s="394">
        <v>43313</v>
      </c>
      <c r="D128" s="395">
        <v>31984.105604</v>
      </c>
      <c r="E128" s="395">
        <v>11594.452815000001</v>
      </c>
      <c r="F128" s="395"/>
      <c r="G128" s="395">
        <v>34336.824353000004</v>
      </c>
      <c r="H128" s="395">
        <v>3702.2329159999999</v>
      </c>
      <c r="I128" s="395">
        <v>0</v>
      </c>
      <c r="J128" s="395">
        <v>81617.615688000005</v>
      </c>
      <c r="K128" s="395">
        <v>11577.485946000001</v>
      </c>
      <c r="L128" s="395">
        <v>8458.2252420000004</v>
      </c>
      <c r="M128" s="395"/>
      <c r="N128" s="395">
        <v>24476.822149</v>
      </c>
      <c r="O128" s="395">
        <v>3072.0015050000002</v>
      </c>
      <c r="P128" s="395">
        <v>0</v>
      </c>
      <c r="Q128" s="395">
        <v>47584.534842000001</v>
      </c>
      <c r="R128" s="395">
        <v>43561.591549999997</v>
      </c>
      <c r="S128" s="395">
        <v>20052.678057000001</v>
      </c>
      <c r="T128" s="395"/>
      <c r="U128" s="395">
        <v>58813.646502000003</v>
      </c>
      <c r="V128" s="395">
        <v>6774.2344210000001</v>
      </c>
      <c r="W128" s="396">
        <v>0</v>
      </c>
      <c r="X128" s="395">
        <v>129202.15053</v>
      </c>
      <c r="Y128" s="397"/>
      <c r="Z128" s="325">
        <f t="shared" si="9"/>
        <v>2018</v>
      </c>
      <c r="AA128" s="394">
        <v>43313</v>
      </c>
      <c r="AB128" s="398">
        <f>'AUX UF'!C127</f>
        <v>27237.976774193499</v>
      </c>
      <c r="AC128" s="325">
        <f t="shared" si="13"/>
        <v>1.5992961559197831</v>
      </c>
      <c r="AD128" s="325">
        <f t="shared" si="13"/>
        <v>0.73620292076902061</v>
      </c>
      <c r="AE128" s="325">
        <f t="shared" si="13"/>
        <v>0</v>
      </c>
      <c r="AF128" s="325">
        <f t="shared" si="13"/>
        <v>2.1592516576973781</v>
      </c>
      <c r="AG128" s="325">
        <f t="shared" si="13"/>
        <v>0.24870549223091409</v>
      </c>
      <c r="AH128" s="325">
        <f t="shared" si="13"/>
        <v>0</v>
      </c>
      <c r="AI128" s="325">
        <f t="shared" si="12"/>
        <v>4.7434562266170959</v>
      </c>
      <c r="AJ128" s="447">
        <f t="shared" si="10"/>
        <v>2.9964639578270091</v>
      </c>
      <c r="AK128" s="447">
        <f t="shared" si="11"/>
        <v>1.7469922687900872</v>
      </c>
    </row>
    <row r="129" spans="2:37" s="63" customFormat="1" ht="12.75" x14ac:dyDescent="0.2">
      <c r="B129" s="325">
        <f t="shared" si="8"/>
        <v>2018</v>
      </c>
      <c r="C129" s="394">
        <v>43344</v>
      </c>
      <c r="D129" s="395">
        <v>32010.968695</v>
      </c>
      <c r="E129" s="395">
        <v>11593.971136</v>
      </c>
      <c r="F129" s="395"/>
      <c r="G129" s="395">
        <v>34595.251150999997</v>
      </c>
      <c r="H129" s="395">
        <v>3685.1546480000002</v>
      </c>
      <c r="I129" s="395">
        <v>0</v>
      </c>
      <c r="J129" s="395">
        <v>81885.345629999996</v>
      </c>
      <c r="K129" s="395">
        <v>11566.226192</v>
      </c>
      <c r="L129" s="395">
        <v>8451.7093430000004</v>
      </c>
      <c r="M129" s="395"/>
      <c r="N129" s="395">
        <v>24601.059805000001</v>
      </c>
      <c r="O129" s="395">
        <v>3063.0343269999998</v>
      </c>
      <c r="P129" s="395">
        <v>0</v>
      </c>
      <c r="Q129" s="395">
        <v>47682.029667000003</v>
      </c>
      <c r="R129" s="395">
        <v>43577.194886999998</v>
      </c>
      <c r="S129" s="395">
        <v>20045.680478999999</v>
      </c>
      <c r="T129" s="395"/>
      <c r="U129" s="395">
        <v>59196.310956000001</v>
      </c>
      <c r="V129" s="395">
        <v>6748.188975</v>
      </c>
      <c r="W129" s="396">
        <v>0</v>
      </c>
      <c r="X129" s="395">
        <v>129567.37529700001</v>
      </c>
      <c r="Y129" s="397"/>
      <c r="Z129" s="325">
        <f t="shared" si="9"/>
        <v>2018</v>
      </c>
      <c r="AA129" s="394">
        <v>43344</v>
      </c>
      <c r="AB129" s="398">
        <f>'AUX UF'!C128</f>
        <v>27329.007000000001</v>
      </c>
      <c r="AC129" s="325">
        <f t="shared" si="13"/>
        <v>1.5945400023864751</v>
      </c>
      <c r="AD129" s="325">
        <f t="shared" si="13"/>
        <v>0.733494652001077</v>
      </c>
      <c r="AE129" s="325">
        <f t="shared" si="13"/>
        <v>0</v>
      </c>
      <c r="AF129" s="325">
        <f t="shared" si="13"/>
        <v>2.1660615387891702</v>
      </c>
      <c r="AG129" s="325">
        <f t="shared" si="13"/>
        <v>0.2469240457584134</v>
      </c>
      <c r="AH129" s="325">
        <f t="shared" si="13"/>
        <v>0</v>
      </c>
      <c r="AI129" s="325">
        <f t="shared" si="12"/>
        <v>4.7410202389351355</v>
      </c>
      <c r="AJ129" s="447">
        <f t="shared" si="10"/>
        <v>2.9962795805204334</v>
      </c>
      <c r="AK129" s="447">
        <f t="shared" si="11"/>
        <v>1.7447406584147021</v>
      </c>
    </row>
    <row r="130" spans="2:37" s="63" customFormat="1" ht="12.75" x14ac:dyDescent="0.2">
      <c r="B130" s="325">
        <f t="shared" si="8"/>
        <v>2018</v>
      </c>
      <c r="C130" s="394">
        <v>43374</v>
      </c>
      <c r="D130" s="395">
        <v>32102.815280999999</v>
      </c>
      <c r="E130" s="395">
        <v>11581.323138</v>
      </c>
      <c r="F130" s="395"/>
      <c r="G130" s="395">
        <v>35020.226123</v>
      </c>
      <c r="H130" s="395">
        <v>3694.4746420000001</v>
      </c>
      <c r="I130" s="395">
        <v>0</v>
      </c>
      <c r="J130" s="395">
        <v>82398.839183999997</v>
      </c>
      <c r="K130" s="395">
        <v>11562.862482</v>
      </c>
      <c r="L130" s="395">
        <v>8475.1800590000003</v>
      </c>
      <c r="M130" s="395"/>
      <c r="N130" s="395">
        <v>24857.678187000001</v>
      </c>
      <c r="O130" s="395">
        <v>3078.110338</v>
      </c>
      <c r="P130" s="395">
        <v>0</v>
      </c>
      <c r="Q130" s="395">
        <v>47973.831065999999</v>
      </c>
      <c r="R130" s="395">
        <v>43665.677763</v>
      </c>
      <c r="S130" s="395">
        <v>20056.503196999998</v>
      </c>
      <c r="T130" s="395"/>
      <c r="U130" s="395">
        <v>59877.904309999998</v>
      </c>
      <c r="V130" s="395">
        <v>6772.5849799999996</v>
      </c>
      <c r="W130" s="396">
        <v>0</v>
      </c>
      <c r="X130" s="395">
        <v>130372.67025</v>
      </c>
      <c r="Y130" s="397"/>
      <c r="Z130" s="325">
        <f t="shared" si="9"/>
        <v>2018</v>
      </c>
      <c r="AA130" s="394">
        <v>43374</v>
      </c>
      <c r="AB130" s="398">
        <f>'AUX UF'!C129</f>
        <v>27393.3358064516</v>
      </c>
      <c r="AC130" s="325">
        <f t="shared" si="13"/>
        <v>1.5940255714572733</v>
      </c>
      <c r="AD130" s="325">
        <f t="shared" si="13"/>
        <v>0.73216724457035087</v>
      </c>
      <c r="AE130" s="325">
        <f t="shared" si="13"/>
        <v>0</v>
      </c>
      <c r="AF130" s="325">
        <f t="shared" si="13"/>
        <v>2.1858566161152861</v>
      </c>
      <c r="AG130" s="325">
        <f t="shared" si="13"/>
        <v>0.24723476643559927</v>
      </c>
      <c r="AH130" s="325">
        <f t="shared" si="13"/>
        <v>0</v>
      </c>
      <c r="AI130" s="325">
        <f t="shared" si="12"/>
        <v>4.7592841985785101</v>
      </c>
      <c r="AJ130" s="447">
        <f t="shared" si="10"/>
        <v>3.0079885037073018</v>
      </c>
      <c r="AK130" s="447">
        <f t="shared" si="11"/>
        <v>1.751295694871208</v>
      </c>
    </row>
    <row r="131" spans="2:37" s="63" customFormat="1" ht="12.75" x14ac:dyDescent="0.2">
      <c r="B131" s="325">
        <f t="shared" si="8"/>
        <v>2018</v>
      </c>
      <c r="C131" s="394">
        <v>43405</v>
      </c>
      <c r="D131" s="395">
        <v>32118.362077000002</v>
      </c>
      <c r="E131" s="395">
        <v>11566.739557999999</v>
      </c>
      <c r="F131" s="395"/>
      <c r="G131" s="395">
        <v>35365.985253999999</v>
      </c>
      <c r="H131" s="395">
        <v>3702.426144</v>
      </c>
      <c r="I131" s="395">
        <v>0</v>
      </c>
      <c r="J131" s="395">
        <v>82753.513032999996</v>
      </c>
      <c r="K131" s="395">
        <v>11539.171023999999</v>
      </c>
      <c r="L131" s="395">
        <v>8464.3793349999996</v>
      </c>
      <c r="M131" s="395"/>
      <c r="N131" s="395">
        <v>24965.162729</v>
      </c>
      <c r="O131" s="395">
        <v>3078.7197540000002</v>
      </c>
      <c r="P131" s="395">
        <v>0</v>
      </c>
      <c r="Q131" s="395">
        <v>48047.432842000002</v>
      </c>
      <c r="R131" s="395">
        <v>43657.533101000001</v>
      </c>
      <c r="S131" s="395">
        <v>20031.118892999999</v>
      </c>
      <c r="T131" s="395"/>
      <c r="U131" s="395">
        <v>60331.147983000003</v>
      </c>
      <c r="V131" s="395">
        <v>6781.1458979999998</v>
      </c>
      <c r="W131" s="396">
        <v>0</v>
      </c>
      <c r="X131" s="395">
        <v>130800.945875</v>
      </c>
      <c r="Y131" s="397"/>
      <c r="Z131" s="325">
        <f t="shared" si="9"/>
        <v>2018</v>
      </c>
      <c r="AA131" s="394">
        <v>43405</v>
      </c>
      <c r="AB131" s="398">
        <f>'AUX UF'!C130</f>
        <v>27480.947</v>
      </c>
      <c r="AC131" s="325">
        <f t="shared" si="13"/>
        <v>1.588647330857994</v>
      </c>
      <c r="AD131" s="325">
        <f t="shared" si="13"/>
        <v>0.72890933827717064</v>
      </c>
      <c r="AE131" s="325">
        <f t="shared" si="13"/>
        <v>0</v>
      </c>
      <c r="AF131" s="325">
        <f t="shared" si="13"/>
        <v>2.1953809664201165</v>
      </c>
      <c r="AG131" s="325">
        <f t="shared" si="13"/>
        <v>0.24675808653901191</v>
      </c>
      <c r="AH131" s="325">
        <f t="shared" si="13"/>
        <v>0</v>
      </c>
      <c r="AI131" s="325">
        <f t="shared" si="12"/>
        <v>4.7596957220942935</v>
      </c>
      <c r="AJ131" s="447">
        <f t="shared" si="10"/>
        <v>3.011304997349618</v>
      </c>
      <c r="AK131" s="447">
        <f t="shared" si="11"/>
        <v>1.7483907247446751</v>
      </c>
    </row>
    <row r="132" spans="2:37" s="63" customFormat="1" ht="12.75" x14ac:dyDescent="0.2">
      <c r="B132" s="325">
        <f t="shared" si="8"/>
        <v>2018</v>
      </c>
      <c r="C132" s="394">
        <v>43435</v>
      </c>
      <c r="D132" s="395">
        <v>32178.023913000001</v>
      </c>
      <c r="E132" s="395">
        <v>11619.828181999999</v>
      </c>
      <c r="F132" s="395"/>
      <c r="G132" s="395">
        <v>35673.355039000002</v>
      </c>
      <c r="H132" s="395">
        <v>3691.9814150000002</v>
      </c>
      <c r="I132" s="395">
        <v>0</v>
      </c>
      <c r="J132" s="395">
        <v>83163.188548999999</v>
      </c>
      <c r="K132" s="395">
        <v>11561.435315000001</v>
      </c>
      <c r="L132" s="395">
        <v>8490.4334159999999</v>
      </c>
      <c r="M132" s="395"/>
      <c r="N132" s="395">
        <v>25299.169172000002</v>
      </c>
      <c r="O132" s="395">
        <v>3082.2780290000001</v>
      </c>
      <c r="P132" s="395">
        <v>0</v>
      </c>
      <c r="Q132" s="395">
        <v>48433.315931999998</v>
      </c>
      <c r="R132" s="395">
        <v>43739.459228</v>
      </c>
      <c r="S132" s="395">
        <v>20110.261598000001</v>
      </c>
      <c r="T132" s="395"/>
      <c r="U132" s="395">
        <v>60972.524211000004</v>
      </c>
      <c r="V132" s="395">
        <v>6774.2594440000003</v>
      </c>
      <c r="W132" s="396">
        <v>0</v>
      </c>
      <c r="X132" s="395">
        <v>131596.50448100001</v>
      </c>
      <c r="Y132" s="397"/>
      <c r="Z132" s="325">
        <f t="shared" si="9"/>
        <v>2018</v>
      </c>
      <c r="AA132" s="394">
        <v>43435</v>
      </c>
      <c r="AB132" s="398">
        <f>'AUX UF'!C131</f>
        <v>27561.532903225801</v>
      </c>
      <c r="AC132" s="325">
        <f t="shared" si="13"/>
        <v>1.5869748385032945</v>
      </c>
      <c r="AD132" s="325">
        <f t="shared" si="13"/>
        <v>0.72964960507136001</v>
      </c>
      <c r="AE132" s="325">
        <f t="shared" si="13"/>
        <v>0</v>
      </c>
      <c r="AF132" s="325">
        <f t="shared" si="13"/>
        <v>2.2122326949334439</v>
      </c>
      <c r="AG132" s="325">
        <f t="shared" si="13"/>
        <v>0.24578674443782991</v>
      </c>
      <c r="AH132" s="325">
        <f t="shared" si="13"/>
        <v>0</v>
      </c>
      <c r="AI132" s="325">
        <f t="shared" si="12"/>
        <v>4.7746438829459281</v>
      </c>
      <c r="AJ132" s="447">
        <f t="shared" si="10"/>
        <v>3.0173644129665438</v>
      </c>
      <c r="AK132" s="447">
        <f t="shared" si="11"/>
        <v>1.7572794699793843</v>
      </c>
    </row>
    <row r="133" spans="2:37" s="63" customFormat="1" ht="12.75" x14ac:dyDescent="0.2">
      <c r="B133" s="325">
        <f t="shared" si="8"/>
        <v>2019</v>
      </c>
      <c r="C133" s="394">
        <v>43466</v>
      </c>
      <c r="D133" s="395">
        <v>32274.734541999998</v>
      </c>
      <c r="E133" s="395">
        <v>11573.675969</v>
      </c>
      <c r="F133" s="395"/>
      <c r="G133" s="395">
        <v>36058.491905000003</v>
      </c>
      <c r="H133" s="395">
        <v>3706.5899509999999</v>
      </c>
      <c r="I133" s="395">
        <v>0</v>
      </c>
      <c r="J133" s="395">
        <v>83613.492366999999</v>
      </c>
      <c r="K133" s="395">
        <v>11568.904008</v>
      </c>
      <c r="L133" s="395">
        <v>8479.9118849999995</v>
      </c>
      <c r="M133" s="395"/>
      <c r="N133" s="395">
        <v>25431.251421000001</v>
      </c>
      <c r="O133" s="395">
        <v>3101.5349639999999</v>
      </c>
      <c r="P133" s="395">
        <v>0</v>
      </c>
      <c r="Q133" s="395">
        <v>48581.602277999998</v>
      </c>
      <c r="R133" s="395">
        <v>43843.638550000003</v>
      </c>
      <c r="S133" s="395">
        <v>20053.587854000001</v>
      </c>
      <c r="T133" s="395"/>
      <c r="U133" s="395">
        <v>61489.743326000003</v>
      </c>
      <c r="V133" s="395">
        <v>6808.1249150000003</v>
      </c>
      <c r="W133" s="396">
        <v>0</v>
      </c>
      <c r="X133" s="395">
        <v>132195.094645</v>
      </c>
      <c r="Y133" s="397"/>
      <c r="Z133" s="325">
        <f t="shared" si="9"/>
        <v>2019</v>
      </c>
      <c r="AA133" s="394">
        <v>43466</v>
      </c>
      <c r="AB133" s="398">
        <f>'AUX UF'!C132</f>
        <v>27558.530322580598</v>
      </c>
      <c r="AC133" s="325">
        <f t="shared" si="13"/>
        <v>1.5909280370468775</v>
      </c>
      <c r="AD133" s="325">
        <f t="shared" si="13"/>
        <v>0.72767261603818978</v>
      </c>
      <c r="AE133" s="325">
        <f t="shared" si="13"/>
        <v>0</v>
      </c>
      <c r="AF133" s="325">
        <f t="shared" si="13"/>
        <v>2.231241746430042</v>
      </c>
      <c r="AG133" s="325">
        <f t="shared" si="13"/>
        <v>0.24704237981158361</v>
      </c>
      <c r="AH133" s="325">
        <f t="shared" si="13"/>
        <v>0</v>
      </c>
      <c r="AI133" s="325">
        <f t="shared" si="12"/>
        <v>4.7968847793266924</v>
      </c>
      <c r="AJ133" s="447">
        <f t="shared" si="10"/>
        <v>3.0340330702791403</v>
      </c>
      <c r="AK133" s="447">
        <f t="shared" si="11"/>
        <v>1.7628517090475522</v>
      </c>
    </row>
    <row r="134" spans="2:37" s="63" customFormat="1" ht="12.75" x14ac:dyDescent="0.2">
      <c r="B134" s="325">
        <f t="shared" si="8"/>
        <v>2019</v>
      </c>
      <c r="C134" s="394">
        <v>43497</v>
      </c>
      <c r="D134" s="395">
        <v>32285.206327</v>
      </c>
      <c r="E134" s="395">
        <v>11567.369298</v>
      </c>
      <c r="F134" s="395"/>
      <c r="G134" s="395">
        <v>35798.638282</v>
      </c>
      <c r="H134" s="395">
        <v>3721.033081</v>
      </c>
      <c r="I134" s="395">
        <v>0</v>
      </c>
      <c r="J134" s="395">
        <v>83372.246987999999</v>
      </c>
      <c r="K134" s="395">
        <v>11564.049696</v>
      </c>
      <c r="L134" s="395">
        <v>8494.8815460000005</v>
      </c>
      <c r="M134" s="395"/>
      <c r="N134" s="395">
        <v>25518.935997</v>
      </c>
      <c r="O134" s="395">
        <v>3104.25486</v>
      </c>
      <c r="P134" s="395">
        <v>0</v>
      </c>
      <c r="Q134" s="395">
        <v>48682.122099</v>
      </c>
      <c r="R134" s="395">
        <v>43849.256023000002</v>
      </c>
      <c r="S134" s="395">
        <v>20062.250843999998</v>
      </c>
      <c r="T134" s="395"/>
      <c r="U134" s="395">
        <v>61317.574279</v>
      </c>
      <c r="V134" s="395">
        <v>6825.2879409999996</v>
      </c>
      <c r="W134" s="396">
        <v>0</v>
      </c>
      <c r="X134" s="395">
        <v>132054.369087</v>
      </c>
      <c r="Y134" s="397"/>
      <c r="Z134" s="325">
        <f t="shared" si="9"/>
        <v>2019</v>
      </c>
      <c r="AA134" s="394">
        <v>43497</v>
      </c>
      <c r="AB134" s="398">
        <f>'AUX UF'!C133</f>
        <v>27546.036785714299</v>
      </c>
      <c r="AC134" s="325">
        <f t="shared" si="13"/>
        <v>1.5918535346522424</v>
      </c>
      <c r="AD134" s="325">
        <f t="shared" si="13"/>
        <v>0.72831714413466986</v>
      </c>
      <c r="AE134" s="325">
        <f t="shared" si="13"/>
        <v>0</v>
      </c>
      <c r="AF134" s="325">
        <f t="shared" si="13"/>
        <v>2.2260034993781761</v>
      </c>
      <c r="AG134" s="325">
        <f t="shared" si="13"/>
        <v>0.24777749315065442</v>
      </c>
      <c r="AH134" s="325">
        <f t="shared" si="13"/>
        <v>0</v>
      </c>
      <c r="AI134" s="325">
        <f t="shared" si="12"/>
        <v>4.7939516713157433</v>
      </c>
      <c r="AJ134" s="447">
        <f t="shared" si="10"/>
        <v>3.0266512615432881</v>
      </c>
      <c r="AK134" s="447">
        <f t="shared" si="11"/>
        <v>1.7673004097724549</v>
      </c>
    </row>
    <row r="135" spans="2:37" s="63" customFormat="1" ht="12.75" x14ac:dyDescent="0.2">
      <c r="B135" s="325">
        <f t="shared" si="8"/>
        <v>2019</v>
      </c>
      <c r="C135" s="394">
        <v>43525</v>
      </c>
      <c r="D135" s="395">
        <v>32354.929274999999</v>
      </c>
      <c r="E135" s="395">
        <v>11552.234557</v>
      </c>
      <c r="F135" s="395"/>
      <c r="G135" s="395">
        <v>36244.202856000004</v>
      </c>
      <c r="H135" s="395">
        <v>3743.1920439999999</v>
      </c>
      <c r="I135" s="395">
        <v>0</v>
      </c>
      <c r="J135" s="395">
        <v>83894.558732000005</v>
      </c>
      <c r="K135" s="395">
        <v>11580.280801999999</v>
      </c>
      <c r="L135" s="395">
        <v>8512.1822329999995</v>
      </c>
      <c r="M135" s="395"/>
      <c r="N135" s="395">
        <v>25777.10526</v>
      </c>
      <c r="O135" s="395">
        <v>3131.1104019999998</v>
      </c>
      <c r="P135" s="395">
        <v>0</v>
      </c>
      <c r="Q135" s="395">
        <v>49000.678697000003</v>
      </c>
      <c r="R135" s="395">
        <v>43935.210077000003</v>
      </c>
      <c r="S135" s="395">
        <v>20064.416789999999</v>
      </c>
      <c r="T135" s="395"/>
      <c r="U135" s="395">
        <v>62021.308116</v>
      </c>
      <c r="V135" s="395">
        <v>6874.3024459999997</v>
      </c>
      <c r="W135" s="396">
        <v>0</v>
      </c>
      <c r="X135" s="395">
        <v>132895.237429</v>
      </c>
      <c r="Y135" s="397"/>
      <c r="Z135" s="325">
        <f t="shared" si="9"/>
        <v>2019</v>
      </c>
      <c r="AA135" s="394">
        <v>43525</v>
      </c>
      <c r="AB135" s="398">
        <f>'AUX UF'!C134</f>
        <v>27564.616774193601</v>
      </c>
      <c r="AC135" s="325">
        <f t="shared" si="13"/>
        <v>1.5938988173466206</v>
      </c>
      <c r="AD135" s="325">
        <f t="shared" si="13"/>
        <v>0.72790479745702841</v>
      </c>
      <c r="AE135" s="325">
        <f t="shared" si="13"/>
        <v>0</v>
      </c>
      <c r="AF135" s="325">
        <f t="shared" si="13"/>
        <v>2.2500333896920077</v>
      </c>
      <c r="AG135" s="325">
        <f t="shared" si="13"/>
        <v>0.24938864567984209</v>
      </c>
      <c r="AH135" s="325">
        <f t="shared" si="13"/>
        <v>0</v>
      </c>
      <c r="AI135" s="325">
        <f t="shared" si="12"/>
        <v>4.8212256501754984</v>
      </c>
      <c r="AJ135" s="447">
        <f t="shared" si="10"/>
        <v>3.0435597715453575</v>
      </c>
      <c r="AK135" s="447">
        <f t="shared" si="11"/>
        <v>1.7776658786301416</v>
      </c>
    </row>
    <row r="136" spans="2:37" s="63" customFormat="1" ht="12.75" x14ac:dyDescent="0.2">
      <c r="B136" s="325">
        <f t="shared" ref="B136:B199" si="14">+YEAR(C136)</f>
        <v>2019</v>
      </c>
      <c r="C136" s="394">
        <v>43556</v>
      </c>
      <c r="D136" s="395">
        <v>32361.884473999999</v>
      </c>
      <c r="E136" s="395">
        <v>11551.421114999999</v>
      </c>
      <c r="F136" s="395"/>
      <c r="G136" s="395">
        <v>36495.616800000003</v>
      </c>
      <c r="H136" s="395">
        <v>3744.3369739999998</v>
      </c>
      <c r="I136" s="395">
        <v>0</v>
      </c>
      <c r="J136" s="395">
        <v>84153.259363000005</v>
      </c>
      <c r="K136" s="395">
        <v>11558.792223</v>
      </c>
      <c r="L136" s="395">
        <v>8473.3991370000003</v>
      </c>
      <c r="M136" s="395"/>
      <c r="N136" s="395">
        <v>25931.350270999999</v>
      </c>
      <c r="O136" s="395">
        <v>3138.4356830000002</v>
      </c>
      <c r="P136" s="395">
        <v>0</v>
      </c>
      <c r="Q136" s="395">
        <v>49101.977314000003</v>
      </c>
      <c r="R136" s="395">
        <v>43920.676697000003</v>
      </c>
      <c r="S136" s="395">
        <v>20024.820252000001</v>
      </c>
      <c r="T136" s="395"/>
      <c r="U136" s="395">
        <v>62426.967070999999</v>
      </c>
      <c r="V136" s="395">
        <v>6882.7726570000004</v>
      </c>
      <c r="W136" s="396">
        <v>0</v>
      </c>
      <c r="X136" s="395">
        <v>133255.23667700001</v>
      </c>
      <c r="Y136" s="397"/>
      <c r="Z136" s="325">
        <f t="shared" ref="Z136:Z199" si="15">+YEAR(AA136)</f>
        <v>2019</v>
      </c>
      <c r="AA136" s="394">
        <v>43556</v>
      </c>
      <c r="AB136" s="398">
        <f>'AUX UF'!C135</f>
        <v>27601.09</v>
      </c>
      <c r="AC136" s="325">
        <f t="shared" si="13"/>
        <v>1.5912660223563635</v>
      </c>
      <c r="AD136" s="325">
        <f t="shared" si="13"/>
        <v>0.72550831333110399</v>
      </c>
      <c r="AE136" s="325">
        <f t="shared" si="13"/>
        <v>0</v>
      </c>
      <c r="AF136" s="325">
        <f t="shared" si="13"/>
        <v>2.2617573099830479</v>
      </c>
      <c r="AG136" s="325">
        <f t="shared" si="13"/>
        <v>0.24936597275687303</v>
      </c>
      <c r="AH136" s="325">
        <f t="shared" ref="AH136:AH167" si="16">+W136/$AB136</f>
        <v>0</v>
      </c>
      <c r="AI136" s="325">
        <f t="shared" si="12"/>
        <v>4.8278976184273885</v>
      </c>
      <c r="AJ136" s="447">
        <f t="shared" ref="AJ136:AJ199" si="17">J136/$AB136</f>
        <v>3.0489107264604405</v>
      </c>
      <c r="AK136" s="447">
        <f t="shared" ref="AK136:AK199" si="18">Q136/$AB136</f>
        <v>1.7789868919669478</v>
      </c>
    </row>
    <row r="137" spans="2:37" s="63" customFormat="1" ht="12.75" x14ac:dyDescent="0.2">
      <c r="B137" s="325">
        <f t="shared" si="14"/>
        <v>2019</v>
      </c>
      <c r="C137" s="394">
        <v>43586</v>
      </c>
      <c r="D137" s="395">
        <v>32420.201218999999</v>
      </c>
      <c r="E137" s="395">
        <v>11533.37357</v>
      </c>
      <c r="F137" s="395"/>
      <c r="G137" s="395">
        <v>36743.915140999998</v>
      </c>
      <c r="H137" s="395">
        <v>3763.4335299999998</v>
      </c>
      <c r="I137" s="395">
        <v>0</v>
      </c>
      <c r="J137" s="395">
        <v>84460.923460000005</v>
      </c>
      <c r="K137" s="395">
        <v>11569.304555999999</v>
      </c>
      <c r="L137" s="395">
        <v>8518.3996279999992</v>
      </c>
      <c r="M137" s="395"/>
      <c r="N137" s="395">
        <v>26107.342027999999</v>
      </c>
      <c r="O137" s="395">
        <v>3158.9961790000002</v>
      </c>
      <c r="P137" s="395">
        <v>0</v>
      </c>
      <c r="Q137" s="395">
        <v>49354.042391000003</v>
      </c>
      <c r="R137" s="395">
        <v>43989.505774999998</v>
      </c>
      <c r="S137" s="395">
        <v>20051.773197999999</v>
      </c>
      <c r="T137" s="395"/>
      <c r="U137" s="395">
        <v>62851.257168999997</v>
      </c>
      <c r="V137" s="395">
        <v>6922.429709</v>
      </c>
      <c r="W137" s="396">
        <v>0</v>
      </c>
      <c r="X137" s="395">
        <v>133814.96585099999</v>
      </c>
      <c r="Y137" s="397"/>
      <c r="Z137" s="325">
        <f t="shared" si="15"/>
        <v>2019</v>
      </c>
      <c r="AA137" s="394">
        <v>43586</v>
      </c>
      <c r="AB137" s="398">
        <f>'AUX UF'!C136</f>
        <v>27720.106451612901</v>
      </c>
      <c r="AC137" s="325">
        <f t="shared" si="13"/>
        <v>1.5869169136051589</v>
      </c>
      <c r="AD137" s="325">
        <f t="shared" si="13"/>
        <v>0.72336566358435761</v>
      </c>
      <c r="AE137" s="325">
        <f t="shared" si="13"/>
        <v>0</v>
      </c>
      <c r="AF137" s="325">
        <f t="shared" si="13"/>
        <v>2.2673526625415605</v>
      </c>
      <c r="AG137" s="325">
        <f t="shared" si="13"/>
        <v>0.24972594247008084</v>
      </c>
      <c r="AH137" s="325">
        <f t="shared" si="16"/>
        <v>0</v>
      </c>
      <c r="AI137" s="325">
        <f t="shared" si="12"/>
        <v>4.8273611822011571</v>
      </c>
      <c r="AJ137" s="447">
        <f t="shared" si="17"/>
        <v>3.0469191598319285</v>
      </c>
      <c r="AK137" s="447">
        <f t="shared" si="18"/>
        <v>1.7804420223692297</v>
      </c>
    </row>
    <row r="138" spans="2:37" s="63" customFormat="1" ht="12.75" x14ac:dyDescent="0.2">
      <c r="B138" s="325">
        <f t="shared" si="14"/>
        <v>2019</v>
      </c>
      <c r="C138" s="394">
        <v>43617</v>
      </c>
      <c r="D138" s="395">
        <v>32390.976790000001</v>
      </c>
      <c r="E138" s="395">
        <v>11543.608865</v>
      </c>
      <c r="F138" s="395"/>
      <c r="G138" s="395">
        <v>36997.395981000001</v>
      </c>
      <c r="H138" s="395">
        <v>3755.1306939999999</v>
      </c>
      <c r="I138" s="395">
        <v>0</v>
      </c>
      <c r="J138" s="395">
        <v>84687.112330000004</v>
      </c>
      <c r="K138" s="395">
        <v>11559.160558</v>
      </c>
      <c r="L138" s="395">
        <v>8495.3918919999996</v>
      </c>
      <c r="M138" s="395"/>
      <c r="N138" s="395">
        <v>26270.797718999998</v>
      </c>
      <c r="O138" s="395">
        <v>3158.4218350000001</v>
      </c>
      <c r="P138" s="395">
        <v>0</v>
      </c>
      <c r="Q138" s="395">
        <v>49483.772003999999</v>
      </c>
      <c r="R138" s="395">
        <v>43950.137347999997</v>
      </c>
      <c r="S138" s="395">
        <v>20039.000757000002</v>
      </c>
      <c r="T138" s="395"/>
      <c r="U138" s="395">
        <v>63268.193700000003</v>
      </c>
      <c r="V138" s="395">
        <v>6913.5525289999996</v>
      </c>
      <c r="W138" s="396">
        <v>0</v>
      </c>
      <c r="X138" s="395">
        <v>134170.884334</v>
      </c>
      <c r="Y138" s="397"/>
      <c r="Z138" s="325">
        <f t="shared" si="15"/>
        <v>2019</v>
      </c>
      <c r="AA138" s="394">
        <v>43617</v>
      </c>
      <c r="AB138" s="398">
        <f>'AUX UF'!C137</f>
        <v>27826.203333333298</v>
      </c>
      <c r="AC138" s="325">
        <f t="shared" si="13"/>
        <v>1.5794514552170928</v>
      </c>
      <c r="AD138" s="325">
        <f t="shared" si="13"/>
        <v>0.72014857783329267</v>
      </c>
      <c r="AE138" s="325">
        <f t="shared" si="13"/>
        <v>0</v>
      </c>
      <c r="AF138" s="325">
        <f t="shared" si="13"/>
        <v>2.2736912018539868</v>
      </c>
      <c r="AG138" s="325">
        <f t="shared" si="13"/>
        <v>0.24845475490068683</v>
      </c>
      <c r="AH138" s="325">
        <f t="shared" si="16"/>
        <v>0</v>
      </c>
      <c r="AI138" s="325">
        <f t="shared" si="12"/>
        <v>4.8217459898050592</v>
      </c>
      <c r="AJ138" s="447">
        <f t="shared" si="17"/>
        <v>3.043430370845901</v>
      </c>
      <c r="AK138" s="447">
        <f t="shared" si="18"/>
        <v>1.7783156189591582</v>
      </c>
    </row>
    <row r="139" spans="2:37" s="63" customFormat="1" ht="12.75" x14ac:dyDescent="0.2">
      <c r="B139" s="325">
        <f t="shared" si="14"/>
        <v>2019</v>
      </c>
      <c r="C139" s="394">
        <v>43647</v>
      </c>
      <c r="D139" s="395">
        <v>33312.088054</v>
      </c>
      <c r="E139" s="395">
        <v>11824.733396</v>
      </c>
      <c r="F139" s="395"/>
      <c r="G139" s="395">
        <v>38788.561955999998</v>
      </c>
      <c r="H139" s="395">
        <v>3868.1750310000002</v>
      </c>
      <c r="I139" s="395">
        <v>0</v>
      </c>
      <c r="J139" s="395">
        <v>87793.558437</v>
      </c>
      <c r="K139" s="395">
        <v>11861.603439</v>
      </c>
      <c r="L139" s="395">
        <v>8720.0433929999999</v>
      </c>
      <c r="M139" s="395"/>
      <c r="N139" s="395">
        <v>27412.672030000002</v>
      </c>
      <c r="O139" s="395">
        <v>3260.2010369999998</v>
      </c>
      <c r="P139" s="395">
        <v>0</v>
      </c>
      <c r="Q139" s="395">
        <v>51254.519898999999</v>
      </c>
      <c r="R139" s="395">
        <v>45173.691492999998</v>
      </c>
      <c r="S139" s="395">
        <v>20544.776789</v>
      </c>
      <c r="T139" s="395"/>
      <c r="U139" s="395">
        <v>66201.233986000007</v>
      </c>
      <c r="V139" s="395">
        <v>7128.3760679999996</v>
      </c>
      <c r="W139" s="396">
        <v>0</v>
      </c>
      <c r="X139" s="395">
        <v>139048.07833600001</v>
      </c>
      <c r="Y139" s="397"/>
      <c r="Z139" s="325">
        <f t="shared" si="15"/>
        <v>2019</v>
      </c>
      <c r="AA139" s="394">
        <v>43647</v>
      </c>
      <c r="AB139" s="398">
        <f>'AUX UF'!C138</f>
        <v>27946.950322580698</v>
      </c>
      <c r="AC139" s="325">
        <f t="shared" si="13"/>
        <v>1.6164086231799097</v>
      </c>
      <c r="AD139" s="325">
        <f t="shared" si="13"/>
        <v>0.73513483767851917</v>
      </c>
      <c r="AE139" s="325">
        <f t="shared" si="13"/>
        <v>0</v>
      </c>
      <c r="AF139" s="325">
        <f t="shared" si="13"/>
        <v>2.3688178216894902</v>
      </c>
      <c r="AG139" s="325">
        <f t="shared" si="13"/>
        <v>0.25506811962378534</v>
      </c>
      <c r="AH139" s="325">
        <f t="shared" si="16"/>
        <v>0</v>
      </c>
      <c r="AI139" s="325">
        <f t="shared" si="12"/>
        <v>4.975429402171704</v>
      </c>
      <c r="AJ139" s="447">
        <f t="shared" si="17"/>
        <v>3.1414360931562602</v>
      </c>
      <c r="AK139" s="447">
        <f t="shared" si="18"/>
        <v>1.8339933090154439</v>
      </c>
    </row>
    <row r="140" spans="2:37" s="63" customFormat="1" ht="12.75" x14ac:dyDescent="0.2">
      <c r="B140" s="325">
        <f t="shared" si="14"/>
        <v>2019</v>
      </c>
      <c r="C140" s="394">
        <v>43678</v>
      </c>
      <c r="D140" s="395">
        <v>33290.132503000001</v>
      </c>
      <c r="E140" s="395">
        <v>11769.77454</v>
      </c>
      <c r="F140" s="395"/>
      <c r="G140" s="395">
        <v>38944.915399999998</v>
      </c>
      <c r="H140" s="395">
        <v>3843.231953</v>
      </c>
      <c r="I140" s="395">
        <v>0</v>
      </c>
      <c r="J140" s="395">
        <v>87848.054396000007</v>
      </c>
      <c r="K140" s="395">
        <v>11829.319906000001</v>
      </c>
      <c r="L140" s="395">
        <v>8693.7305940000006</v>
      </c>
      <c r="M140" s="395"/>
      <c r="N140" s="395">
        <v>27472.775984</v>
      </c>
      <c r="O140" s="395">
        <v>3238.617377</v>
      </c>
      <c r="P140" s="395">
        <v>0</v>
      </c>
      <c r="Q140" s="395">
        <v>51234.443861</v>
      </c>
      <c r="R140" s="395">
        <v>45119.452408999998</v>
      </c>
      <c r="S140" s="395">
        <v>20463.505133999999</v>
      </c>
      <c r="T140" s="395"/>
      <c r="U140" s="395">
        <v>66417.691384000005</v>
      </c>
      <c r="V140" s="395">
        <v>7081.84933</v>
      </c>
      <c r="W140" s="396">
        <v>0</v>
      </c>
      <c r="X140" s="395">
        <v>139082.498257</v>
      </c>
      <c r="Y140" s="397"/>
      <c r="Z140" s="325">
        <f t="shared" si="15"/>
        <v>2019</v>
      </c>
      <c r="AA140" s="394">
        <v>43678</v>
      </c>
      <c r="AB140" s="398">
        <f>'AUX UF'!C139</f>
        <v>27968.130645161302</v>
      </c>
      <c r="AC140" s="325">
        <f t="shared" si="13"/>
        <v>1.6132451961642278</v>
      </c>
      <c r="AD140" s="325">
        <f t="shared" si="13"/>
        <v>0.7316722520223331</v>
      </c>
      <c r="AE140" s="325">
        <f t="shared" si="13"/>
        <v>0</v>
      </c>
      <c r="AF140" s="325">
        <f t="shared" si="13"/>
        <v>2.3747633414137663</v>
      </c>
      <c r="AG140" s="325">
        <f t="shared" si="13"/>
        <v>0.25321139334799314</v>
      </c>
      <c r="AH140" s="325">
        <f t="shared" si="16"/>
        <v>0</v>
      </c>
      <c r="AI140" s="325">
        <f t="shared" si="12"/>
        <v>4.9728921829483204</v>
      </c>
      <c r="AJ140" s="447">
        <f t="shared" si="17"/>
        <v>3.1410055791911993</v>
      </c>
      <c r="AK140" s="447">
        <f t="shared" si="18"/>
        <v>1.8318866037571211</v>
      </c>
    </row>
    <row r="141" spans="2:37" s="63" customFormat="1" ht="12.75" x14ac:dyDescent="0.2">
      <c r="B141" s="325">
        <f t="shared" si="14"/>
        <v>2019</v>
      </c>
      <c r="C141" s="394">
        <v>43709</v>
      </c>
      <c r="D141" s="395">
        <v>33327.225112</v>
      </c>
      <c r="E141" s="395">
        <v>11768.223669000001</v>
      </c>
      <c r="F141" s="395"/>
      <c r="G141" s="395">
        <v>39466.839699999997</v>
      </c>
      <c r="H141" s="395">
        <v>3895.468836</v>
      </c>
      <c r="I141" s="395">
        <v>0</v>
      </c>
      <c r="J141" s="395">
        <v>88457.757316999996</v>
      </c>
      <c r="K141" s="395">
        <v>11825.332848</v>
      </c>
      <c r="L141" s="395">
        <v>8706.3015130000003</v>
      </c>
      <c r="M141" s="395"/>
      <c r="N141" s="395">
        <v>27762.002280000001</v>
      </c>
      <c r="O141" s="395">
        <v>3304.2097669999998</v>
      </c>
      <c r="P141" s="395">
        <v>0</v>
      </c>
      <c r="Q141" s="395">
        <v>51597.846407999998</v>
      </c>
      <c r="R141" s="395">
        <v>45152.557959999998</v>
      </c>
      <c r="S141" s="395">
        <v>20474.525182000001</v>
      </c>
      <c r="T141" s="395"/>
      <c r="U141" s="395">
        <v>67228.841979999997</v>
      </c>
      <c r="V141" s="395">
        <v>7199.6786030000003</v>
      </c>
      <c r="W141" s="396">
        <v>0</v>
      </c>
      <c r="X141" s="395">
        <v>140055.60372499999</v>
      </c>
      <c r="Y141" s="397"/>
      <c r="Z141" s="325">
        <f t="shared" si="15"/>
        <v>2019</v>
      </c>
      <c r="AA141" s="394">
        <v>43709</v>
      </c>
      <c r="AB141" s="398">
        <f>'AUX UF'!C140</f>
        <v>28021.534</v>
      </c>
      <c r="AC141" s="325">
        <f t="shared" si="13"/>
        <v>1.6113521108444668</v>
      </c>
      <c r="AD141" s="325">
        <f t="shared" si="13"/>
        <v>0.73067110394455925</v>
      </c>
      <c r="AE141" s="325">
        <f t="shared" si="13"/>
        <v>0</v>
      </c>
      <c r="AF141" s="325">
        <f t="shared" si="13"/>
        <v>2.3991849261357352</v>
      </c>
      <c r="AG141" s="325">
        <f t="shared" si="13"/>
        <v>0.25693377825068392</v>
      </c>
      <c r="AH141" s="325">
        <f t="shared" si="16"/>
        <v>0</v>
      </c>
      <c r="AI141" s="325">
        <f t="shared" si="12"/>
        <v>4.9981419191754455</v>
      </c>
      <c r="AJ141" s="447">
        <f t="shared" si="17"/>
        <v>3.1567778308282479</v>
      </c>
      <c r="AK141" s="447">
        <f t="shared" si="18"/>
        <v>1.8413640883471976</v>
      </c>
    </row>
    <row r="142" spans="2:37" s="63" customFormat="1" ht="12.75" x14ac:dyDescent="0.2">
      <c r="B142" s="325">
        <f t="shared" si="14"/>
        <v>2019</v>
      </c>
      <c r="C142" s="394">
        <v>43739</v>
      </c>
      <c r="D142" s="395">
        <v>33335.034397000003</v>
      </c>
      <c r="E142" s="395">
        <v>11802.499075</v>
      </c>
      <c r="F142" s="395"/>
      <c r="G142" s="395">
        <v>39684.366445</v>
      </c>
      <c r="H142" s="395">
        <v>3877.9262819999999</v>
      </c>
      <c r="I142" s="395">
        <v>0</v>
      </c>
      <c r="J142" s="395">
        <v>88699.826199000003</v>
      </c>
      <c r="K142" s="395">
        <v>11799.274226</v>
      </c>
      <c r="L142" s="395">
        <v>8725.1430450000007</v>
      </c>
      <c r="M142" s="395"/>
      <c r="N142" s="395">
        <v>27901.112212</v>
      </c>
      <c r="O142" s="395">
        <v>3268.6013229999999</v>
      </c>
      <c r="P142" s="395">
        <v>0</v>
      </c>
      <c r="Q142" s="395">
        <v>51694.130806000001</v>
      </c>
      <c r="R142" s="395">
        <v>45134.308622999997</v>
      </c>
      <c r="S142" s="395">
        <v>20527.64212</v>
      </c>
      <c r="T142" s="395"/>
      <c r="U142" s="395">
        <v>67585.478657</v>
      </c>
      <c r="V142" s="395">
        <v>7146.5276050000002</v>
      </c>
      <c r="W142" s="396">
        <v>0</v>
      </c>
      <c r="X142" s="395">
        <v>140393.957005</v>
      </c>
      <c r="Y142" s="397"/>
      <c r="Z142" s="325">
        <f t="shared" si="15"/>
        <v>2019</v>
      </c>
      <c r="AA142" s="394">
        <v>43739</v>
      </c>
      <c r="AB142" s="398">
        <f>'AUX UF'!C141</f>
        <v>28063.1793548387</v>
      </c>
      <c r="AC142" s="325">
        <f t="shared" si="13"/>
        <v>1.6083105927631776</v>
      </c>
      <c r="AD142" s="325">
        <f t="shared" si="13"/>
        <v>0.73147956118737456</v>
      </c>
      <c r="AE142" s="325">
        <f t="shared" si="13"/>
        <v>0</v>
      </c>
      <c r="AF142" s="325">
        <f t="shared" si="13"/>
        <v>2.408332919176059</v>
      </c>
      <c r="AG142" s="325">
        <f t="shared" si="13"/>
        <v>0.25465851586654897</v>
      </c>
      <c r="AH142" s="325">
        <f t="shared" si="16"/>
        <v>0</v>
      </c>
      <c r="AI142" s="325">
        <f t="shared" si="12"/>
        <v>5.0027815889931606</v>
      </c>
      <c r="AJ142" s="447">
        <f t="shared" si="17"/>
        <v>3.1607190716865881</v>
      </c>
      <c r="AK142" s="447">
        <f t="shared" si="18"/>
        <v>1.8420625173065721</v>
      </c>
    </row>
    <row r="143" spans="2:37" s="63" customFormat="1" ht="12.75" x14ac:dyDescent="0.2">
      <c r="B143" s="325">
        <f t="shared" si="14"/>
        <v>2019</v>
      </c>
      <c r="C143" s="394">
        <v>43770</v>
      </c>
      <c r="D143" s="395">
        <v>33391.211604999997</v>
      </c>
      <c r="E143" s="395">
        <v>11794.425577</v>
      </c>
      <c r="F143" s="395"/>
      <c r="G143" s="395">
        <v>40008.684035999999</v>
      </c>
      <c r="H143" s="395">
        <v>3850.2925679999998</v>
      </c>
      <c r="I143" s="395">
        <v>0</v>
      </c>
      <c r="J143" s="395">
        <v>89044.613786000002</v>
      </c>
      <c r="K143" s="395">
        <v>11793.840990000001</v>
      </c>
      <c r="L143" s="395">
        <v>8733.4174019999991</v>
      </c>
      <c r="M143" s="395"/>
      <c r="N143" s="395">
        <v>27954.551500000001</v>
      </c>
      <c r="O143" s="395">
        <v>3244.5358780000001</v>
      </c>
      <c r="P143" s="395">
        <v>0</v>
      </c>
      <c r="Q143" s="395">
        <v>51726.34577</v>
      </c>
      <c r="R143" s="395">
        <v>45185.052595000001</v>
      </c>
      <c r="S143" s="395">
        <v>20527.842979000001</v>
      </c>
      <c r="T143" s="395"/>
      <c r="U143" s="395">
        <v>67963.235535999993</v>
      </c>
      <c r="V143" s="395">
        <v>7094.8284460000004</v>
      </c>
      <c r="W143" s="396">
        <v>0</v>
      </c>
      <c r="X143" s="395">
        <v>140770.95955599999</v>
      </c>
      <c r="Y143" s="397"/>
      <c r="Z143" s="325">
        <f t="shared" si="15"/>
        <v>2019</v>
      </c>
      <c r="AA143" s="394">
        <v>43770</v>
      </c>
      <c r="AB143" s="398">
        <f>'AUX UF'!C142</f>
        <v>28122.857333333301</v>
      </c>
      <c r="AC143" s="325">
        <f t="shared" si="13"/>
        <v>1.6067020523353193</v>
      </c>
      <c r="AD143" s="325">
        <f t="shared" si="13"/>
        <v>0.72993447058698679</v>
      </c>
      <c r="AE143" s="325">
        <f t="shared" si="13"/>
        <v>0</v>
      </c>
      <c r="AF143" s="325">
        <f t="shared" si="13"/>
        <v>2.4166547065416752</v>
      </c>
      <c r="AG143" s="325">
        <f t="shared" si="13"/>
        <v>0.25227978657740024</v>
      </c>
      <c r="AH143" s="325">
        <f t="shared" si="16"/>
        <v>0</v>
      </c>
      <c r="AI143" s="325">
        <f t="shared" si="12"/>
        <v>5.0055710160413813</v>
      </c>
      <c r="AJ143" s="447">
        <f t="shared" si="17"/>
        <v>3.1662719307137297</v>
      </c>
      <c r="AK143" s="447">
        <f t="shared" si="18"/>
        <v>1.8392990853276523</v>
      </c>
    </row>
    <row r="144" spans="2:37" s="63" customFormat="1" ht="12.75" x14ac:dyDescent="0.2">
      <c r="B144" s="325">
        <f t="shared" si="14"/>
        <v>2019</v>
      </c>
      <c r="C144" s="394">
        <v>43800</v>
      </c>
      <c r="D144" s="395">
        <v>43162.878689999998</v>
      </c>
      <c r="E144" s="395">
        <v>14440.306519</v>
      </c>
      <c r="F144" s="395"/>
      <c r="G144" s="395">
        <v>58614.815198999997</v>
      </c>
      <c r="H144" s="395">
        <v>4813.7616200000002</v>
      </c>
      <c r="I144" s="395">
        <v>0</v>
      </c>
      <c r="J144" s="395">
        <v>121031.762028</v>
      </c>
      <c r="K144" s="395">
        <v>15149.481124</v>
      </c>
      <c r="L144" s="395">
        <v>10732.259856000001</v>
      </c>
      <c r="M144" s="395"/>
      <c r="N144" s="395">
        <v>41145.068046</v>
      </c>
      <c r="O144" s="395">
        <v>4065.1242430000002</v>
      </c>
      <c r="P144" s="395">
        <v>0</v>
      </c>
      <c r="Q144" s="395">
        <v>71091.933269000001</v>
      </c>
      <c r="R144" s="395">
        <v>58312.359814000003</v>
      </c>
      <c r="S144" s="395">
        <v>25172.566374999999</v>
      </c>
      <c r="T144" s="395"/>
      <c r="U144" s="395">
        <v>99759.883245000005</v>
      </c>
      <c r="V144" s="395">
        <v>8878.8858629999995</v>
      </c>
      <c r="W144" s="396">
        <v>0</v>
      </c>
      <c r="X144" s="395">
        <v>192123.695297</v>
      </c>
      <c r="Y144" s="397"/>
      <c r="Z144" s="325">
        <f t="shared" si="15"/>
        <v>2019</v>
      </c>
      <c r="AA144" s="394">
        <v>43800</v>
      </c>
      <c r="AB144" s="398">
        <f>'AUX UF'!C143</f>
        <v>28288.5977419355</v>
      </c>
      <c r="AC144" s="325">
        <f t="shared" si="13"/>
        <v>2.0613379406769523</v>
      </c>
      <c r="AD144" s="325">
        <f t="shared" si="13"/>
        <v>0.88984850379076075</v>
      </c>
      <c r="AE144" s="325">
        <f t="shared" si="13"/>
        <v>0</v>
      </c>
      <c r="AF144" s="325">
        <f t="shared" si="13"/>
        <v>3.5265050659303006</v>
      </c>
      <c r="AG144" s="325">
        <f t="shared" si="13"/>
        <v>0.31386800943610532</v>
      </c>
      <c r="AH144" s="325">
        <f t="shared" si="16"/>
        <v>0</v>
      </c>
      <c r="AI144" s="325">
        <f t="shared" si="12"/>
        <v>6.7915595198341183</v>
      </c>
      <c r="AJ144" s="447">
        <f t="shared" si="17"/>
        <v>4.2784645294941734</v>
      </c>
      <c r="AK144" s="447">
        <f t="shared" si="18"/>
        <v>2.5130949903399453</v>
      </c>
    </row>
    <row r="145" spans="2:37" s="63" customFormat="1" ht="12.75" x14ac:dyDescent="0.2">
      <c r="B145" s="325">
        <f t="shared" si="14"/>
        <v>2020</v>
      </c>
      <c r="C145" s="394">
        <v>43831</v>
      </c>
      <c r="D145" s="395">
        <v>45114.474414999997</v>
      </c>
      <c r="E145" s="395">
        <v>14977.382353999999</v>
      </c>
      <c r="F145" s="395"/>
      <c r="G145" s="395">
        <v>60801.972766999999</v>
      </c>
      <c r="H145" s="395">
        <v>4925.4042870000003</v>
      </c>
      <c r="I145" s="395">
        <v>0</v>
      </c>
      <c r="J145" s="395">
        <v>125819.233823</v>
      </c>
      <c r="K145" s="395">
        <v>16236.882245000001</v>
      </c>
      <c r="L145" s="395">
        <v>11111.370940000001</v>
      </c>
      <c r="M145" s="395"/>
      <c r="N145" s="395">
        <v>41855.011823000001</v>
      </c>
      <c r="O145" s="395">
        <v>4172.7204490000004</v>
      </c>
      <c r="P145" s="395">
        <v>0</v>
      </c>
      <c r="Q145" s="395">
        <v>73375.985457000002</v>
      </c>
      <c r="R145" s="395">
        <v>61351.356659999998</v>
      </c>
      <c r="S145" s="395">
        <v>26088.753293999998</v>
      </c>
      <c r="T145" s="395"/>
      <c r="U145" s="395">
        <v>102656.98458999999</v>
      </c>
      <c r="V145" s="395">
        <v>9098.1247359999998</v>
      </c>
      <c r="W145" s="396">
        <v>0</v>
      </c>
      <c r="X145" s="395">
        <v>199195.21927999999</v>
      </c>
      <c r="Y145" s="397"/>
      <c r="Z145" s="325">
        <f t="shared" si="15"/>
        <v>2020</v>
      </c>
      <c r="AA145" s="394">
        <v>43831</v>
      </c>
      <c r="AB145" s="398">
        <f>'AUX UF'!C144</f>
        <v>28324.553870967698</v>
      </c>
      <c r="AC145" s="325">
        <f t="shared" si="13"/>
        <v>2.166013167920867</v>
      </c>
      <c r="AD145" s="325">
        <f t="shared" si="13"/>
        <v>0.92106493231445508</v>
      </c>
      <c r="AE145" s="325">
        <f t="shared" si="13"/>
        <v>0</v>
      </c>
      <c r="AF145" s="325">
        <f t="shared" si="13"/>
        <v>3.6243107325768711</v>
      </c>
      <c r="AG145" s="325">
        <f t="shared" si="13"/>
        <v>0.32120981595849457</v>
      </c>
      <c r="AH145" s="325">
        <f t="shared" si="16"/>
        <v>0</v>
      </c>
      <c r="AI145" s="325">
        <f t="shared" si="12"/>
        <v>7.032598648770688</v>
      </c>
      <c r="AJ145" s="447">
        <f t="shared" si="17"/>
        <v>4.442055271061589</v>
      </c>
      <c r="AK145" s="447">
        <f t="shared" si="18"/>
        <v>2.5905433777090994</v>
      </c>
    </row>
    <row r="146" spans="2:37" s="63" customFormat="1" ht="12.75" x14ac:dyDescent="0.2">
      <c r="B146" s="325">
        <f t="shared" si="14"/>
        <v>2020</v>
      </c>
      <c r="C146" s="394">
        <v>43862</v>
      </c>
      <c r="D146" s="395">
        <v>44074.943618999998</v>
      </c>
      <c r="E146" s="395">
        <v>14359.515439999999</v>
      </c>
      <c r="F146" s="395"/>
      <c r="G146" s="395">
        <v>60218.816059999997</v>
      </c>
      <c r="H146" s="395">
        <v>4865.028026</v>
      </c>
      <c r="I146" s="395">
        <v>1.566E-2</v>
      </c>
      <c r="J146" s="395">
        <v>123518.318805</v>
      </c>
      <c r="K146" s="395">
        <v>15658.001577999999</v>
      </c>
      <c r="L146" s="395">
        <v>10724.65063</v>
      </c>
      <c r="M146" s="395"/>
      <c r="N146" s="395">
        <v>41691.861557999997</v>
      </c>
      <c r="O146" s="395">
        <v>4127.7532769999998</v>
      </c>
      <c r="P146" s="395">
        <v>0</v>
      </c>
      <c r="Q146" s="395">
        <v>72202.267043</v>
      </c>
      <c r="R146" s="395">
        <v>59732.945197000001</v>
      </c>
      <c r="S146" s="395">
        <v>25084.166069999999</v>
      </c>
      <c r="T146" s="395"/>
      <c r="U146" s="395">
        <v>101910.677618</v>
      </c>
      <c r="V146" s="395">
        <v>8992.7813029999998</v>
      </c>
      <c r="W146" s="396">
        <v>1.566E-2</v>
      </c>
      <c r="X146" s="395">
        <v>195720.58584799999</v>
      </c>
      <c r="Y146" s="397"/>
      <c r="Z146" s="325">
        <f t="shared" si="15"/>
        <v>2020</v>
      </c>
      <c r="AA146" s="394">
        <v>43862</v>
      </c>
      <c r="AB146" s="398">
        <f>'AUX UF'!C145</f>
        <v>28387.7475862069</v>
      </c>
      <c r="AC146" s="325">
        <f t="shared" si="13"/>
        <v>2.1041805101163846</v>
      </c>
      <c r="AD146" s="325">
        <f t="shared" si="13"/>
        <v>0.88362650096931072</v>
      </c>
      <c r="AE146" s="325">
        <f t="shared" si="13"/>
        <v>0</v>
      </c>
      <c r="AF146" s="325">
        <f t="shared" si="13"/>
        <v>3.5899529298166852</v>
      </c>
      <c r="AG146" s="325">
        <f t="shared" si="13"/>
        <v>0.31678389684461727</v>
      </c>
      <c r="AH146" s="325">
        <f t="shared" si="16"/>
        <v>5.5164644367941736E-7</v>
      </c>
      <c r="AI146" s="325">
        <f t="shared" si="12"/>
        <v>6.8945443893934408</v>
      </c>
      <c r="AJ146" s="447">
        <f t="shared" si="17"/>
        <v>4.351113748278336</v>
      </c>
      <c r="AK146" s="447">
        <f t="shared" si="18"/>
        <v>2.5434306411151053</v>
      </c>
    </row>
    <row r="147" spans="2:37" s="63" customFormat="1" ht="12.75" x14ac:dyDescent="0.2">
      <c r="B147" s="325">
        <f t="shared" si="14"/>
        <v>2020</v>
      </c>
      <c r="C147" s="394">
        <v>43891</v>
      </c>
      <c r="D147" s="395">
        <v>44136.538859</v>
      </c>
      <c r="E147" s="395">
        <v>14388.029182</v>
      </c>
      <c r="F147" s="395"/>
      <c r="G147" s="395">
        <v>61074.740947999999</v>
      </c>
      <c r="H147" s="395">
        <v>4888.1728229999999</v>
      </c>
      <c r="I147" s="395">
        <v>1.5003000000000001E-2</v>
      </c>
      <c r="J147" s="395">
        <v>124487.49681500001</v>
      </c>
      <c r="K147" s="395">
        <v>15656.734041</v>
      </c>
      <c r="L147" s="395">
        <v>10736.413585</v>
      </c>
      <c r="M147" s="395"/>
      <c r="N147" s="395">
        <v>42411.382586</v>
      </c>
      <c r="O147" s="395">
        <v>4146.596031</v>
      </c>
      <c r="P147" s="395">
        <v>0</v>
      </c>
      <c r="Q147" s="395">
        <v>72951.126243000006</v>
      </c>
      <c r="R147" s="395">
        <v>59793.272900000004</v>
      </c>
      <c r="S147" s="395">
        <v>25124.442767</v>
      </c>
      <c r="T147" s="395"/>
      <c r="U147" s="395">
        <v>103486.123534</v>
      </c>
      <c r="V147" s="395">
        <v>9034.7688539999999</v>
      </c>
      <c r="W147" s="396">
        <v>1.5003000000000001E-2</v>
      </c>
      <c r="X147" s="395">
        <v>197438.623058</v>
      </c>
      <c r="Y147" s="397"/>
      <c r="Z147" s="325">
        <f t="shared" si="15"/>
        <v>2020</v>
      </c>
      <c r="AA147" s="394">
        <v>43891</v>
      </c>
      <c r="AB147" s="398">
        <f>'AUX UF'!C146</f>
        <v>28539.732580645199</v>
      </c>
      <c r="AC147" s="325">
        <f t="shared" si="13"/>
        <v>2.0950887584892799</v>
      </c>
      <c r="AD147" s="325">
        <f t="shared" si="13"/>
        <v>0.88033210178145305</v>
      </c>
      <c r="AE147" s="325">
        <f t="shared" si="13"/>
        <v>0</v>
      </c>
      <c r="AF147" s="325">
        <f t="shared" si="13"/>
        <v>3.6260369028188171</v>
      </c>
      <c r="AG147" s="325">
        <f t="shared" si="13"/>
        <v>0.31656809777282607</v>
      </c>
      <c r="AH147" s="325">
        <f t="shared" si="16"/>
        <v>5.2568817726675513E-7</v>
      </c>
      <c r="AI147" s="325">
        <f t="shared" si="12"/>
        <v>6.9180263865505527</v>
      </c>
      <c r="AJ147" s="447">
        <f t="shared" si="17"/>
        <v>4.361901305950699</v>
      </c>
      <c r="AK147" s="447">
        <f t="shared" si="18"/>
        <v>2.5561250805998545</v>
      </c>
    </row>
    <row r="148" spans="2:37" s="63" customFormat="1" ht="12.75" x14ac:dyDescent="0.2">
      <c r="B148" s="325">
        <f t="shared" si="14"/>
        <v>2020</v>
      </c>
      <c r="C148" s="394">
        <v>43922</v>
      </c>
      <c r="D148" s="395">
        <v>44167.807281000001</v>
      </c>
      <c r="E148" s="395">
        <v>14385.410863999999</v>
      </c>
      <c r="F148" s="395"/>
      <c r="G148" s="395">
        <v>61839.544070000004</v>
      </c>
      <c r="H148" s="395">
        <v>4894.3662089999998</v>
      </c>
      <c r="I148" s="395">
        <v>0.15251700000000001</v>
      </c>
      <c r="J148" s="395">
        <v>125287.280941</v>
      </c>
      <c r="K148" s="395">
        <v>15645.469216</v>
      </c>
      <c r="L148" s="395">
        <v>10751.536542</v>
      </c>
      <c r="M148" s="395"/>
      <c r="N148" s="395">
        <v>42936.057122999999</v>
      </c>
      <c r="O148" s="395">
        <v>4153.3560219999999</v>
      </c>
      <c r="P148" s="395">
        <v>0</v>
      </c>
      <c r="Q148" s="395">
        <v>73486.418902999998</v>
      </c>
      <c r="R148" s="395">
        <v>59813.276496999999</v>
      </c>
      <c r="S148" s="395">
        <v>25136.947405999999</v>
      </c>
      <c r="T148" s="395"/>
      <c r="U148" s="395">
        <v>104775.60119299999</v>
      </c>
      <c r="V148" s="395">
        <v>9047.7222309999997</v>
      </c>
      <c r="W148" s="396">
        <v>0.15251700000000001</v>
      </c>
      <c r="X148" s="395">
        <v>198773.69984399999</v>
      </c>
      <c r="Y148" s="397"/>
      <c r="Z148" s="325">
        <f t="shared" si="15"/>
        <v>2020</v>
      </c>
      <c r="AA148" s="394">
        <v>43922</v>
      </c>
      <c r="AB148" s="398">
        <f>'AUX UF'!C147</f>
        <v>28648.235000000001</v>
      </c>
      <c r="AC148" s="325">
        <f t="shared" si="13"/>
        <v>2.0878520612875451</v>
      </c>
      <c r="AD148" s="325">
        <f t="shared" si="13"/>
        <v>0.8774344180714797</v>
      </c>
      <c r="AE148" s="325">
        <f t="shared" si="13"/>
        <v>0</v>
      </c>
      <c r="AF148" s="325">
        <f t="shared" si="13"/>
        <v>3.6573143578653271</v>
      </c>
      <c r="AG148" s="325">
        <f t="shared" si="13"/>
        <v>0.31582127942611471</v>
      </c>
      <c r="AH148" s="325">
        <f t="shared" si="16"/>
        <v>5.3237834721755111E-6</v>
      </c>
      <c r="AI148" s="325">
        <f t="shared" si="12"/>
        <v>6.938427440433939</v>
      </c>
      <c r="AJ148" s="447">
        <f t="shared" si="17"/>
        <v>4.3732984227824154</v>
      </c>
      <c r="AK148" s="447">
        <f t="shared" si="18"/>
        <v>2.5651290176515236</v>
      </c>
    </row>
    <row r="149" spans="2:37" s="63" customFormat="1" ht="12.75" x14ac:dyDescent="0.2">
      <c r="B149" s="325">
        <f t="shared" si="14"/>
        <v>2020</v>
      </c>
      <c r="C149" s="394">
        <v>43952</v>
      </c>
      <c r="D149" s="395">
        <v>44177.632132999999</v>
      </c>
      <c r="E149" s="395">
        <v>14377.725429</v>
      </c>
      <c r="F149" s="395"/>
      <c r="G149" s="395">
        <v>62074.697442999997</v>
      </c>
      <c r="H149" s="395">
        <v>4910.6857099999997</v>
      </c>
      <c r="I149" s="395">
        <v>0.15212000000000001</v>
      </c>
      <c r="J149" s="395">
        <v>125540.89283500001</v>
      </c>
      <c r="K149" s="395">
        <v>15650.986838999999</v>
      </c>
      <c r="L149" s="395">
        <v>10750.601938</v>
      </c>
      <c r="M149" s="395"/>
      <c r="N149" s="395">
        <v>43068.075156999999</v>
      </c>
      <c r="O149" s="395">
        <v>4172.313768</v>
      </c>
      <c r="P149" s="395">
        <v>0</v>
      </c>
      <c r="Q149" s="395">
        <v>73641.977702000004</v>
      </c>
      <c r="R149" s="395">
        <v>59828.618971999997</v>
      </c>
      <c r="S149" s="395">
        <v>25128.327367000002</v>
      </c>
      <c r="T149" s="395"/>
      <c r="U149" s="395">
        <v>105142.7726</v>
      </c>
      <c r="V149" s="395">
        <v>9082.9994779999997</v>
      </c>
      <c r="W149" s="396">
        <v>0.15212000000000001</v>
      </c>
      <c r="X149" s="395">
        <v>199182.87053700001</v>
      </c>
      <c r="Y149" s="397"/>
      <c r="Z149" s="325">
        <f t="shared" si="15"/>
        <v>2020</v>
      </c>
      <c r="AA149" s="394">
        <v>43952</v>
      </c>
      <c r="AB149" s="398">
        <f>'AUX UF'!C148</f>
        <v>28713.1912903226</v>
      </c>
      <c r="AC149" s="325">
        <f t="shared" si="13"/>
        <v>2.0836631625884245</v>
      </c>
      <c r="AD149" s="325">
        <f t="shared" si="13"/>
        <v>0.8751492341246363</v>
      </c>
      <c r="AE149" s="325">
        <f t="shared" si="13"/>
        <v>0</v>
      </c>
      <c r="AF149" s="325">
        <f t="shared" si="13"/>
        <v>3.6618281659077363</v>
      </c>
      <c r="AG149" s="325">
        <f t="shared" si="13"/>
        <v>0.31633542179831831</v>
      </c>
      <c r="AH149" s="325">
        <f t="shared" si="16"/>
        <v>5.2979133688727251E-6</v>
      </c>
      <c r="AI149" s="325">
        <f t="shared" si="12"/>
        <v>6.9369812823324848</v>
      </c>
      <c r="AJ149" s="447">
        <f t="shared" si="17"/>
        <v>4.3722375393818345</v>
      </c>
      <c r="AK149" s="447">
        <f t="shared" si="18"/>
        <v>2.5647437429506503</v>
      </c>
    </row>
    <row r="150" spans="2:37" s="63" customFormat="1" ht="12.75" x14ac:dyDescent="0.2">
      <c r="B150" s="325">
        <f t="shared" si="14"/>
        <v>2020</v>
      </c>
      <c r="C150" s="394">
        <v>43983</v>
      </c>
      <c r="D150" s="395">
        <v>44174.881732000002</v>
      </c>
      <c r="E150" s="395">
        <v>14362.258932999999</v>
      </c>
      <c r="F150" s="395"/>
      <c r="G150" s="395">
        <v>62544.771733000001</v>
      </c>
      <c r="H150" s="395">
        <v>4932.858628</v>
      </c>
      <c r="I150" s="395">
        <v>0.17605499999999999</v>
      </c>
      <c r="J150" s="395">
        <v>126014.94708100001</v>
      </c>
      <c r="K150" s="395">
        <v>15640.096446</v>
      </c>
      <c r="L150" s="395">
        <v>10749.169014999999</v>
      </c>
      <c r="M150" s="395"/>
      <c r="N150" s="395">
        <v>43498.026591000002</v>
      </c>
      <c r="O150" s="395">
        <v>4189.203947</v>
      </c>
      <c r="P150" s="395">
        <v>0.30334899999999998</v>
      </c>
      <c r="Q150" s="395">
        <v>74076.799348</v>
      </c>
      <c r="R150" s="395">
        <v>59814.978177999998</v>
      </c>
      <c r="S150" s="395">
        <v>25111.427948</v>
      </c>
      <c r="T150" s="395"/>
      <c r="U150" s="395">
        <v>106042.798324</v>
      </c>
      <c r="V150" s="395">
        <v>9122.0625749999999</v>
      </c>
      <c r="W150" s="396">
        <v>0.479404</v>
      </c>
      <c r="X150" s="395">
        <v>200091.74642899999</v>
      </c>
      <c r="Y150" s="397"/>
      <c r="Z150" s="325">
        <f t="shared" si="15"/>
        <v>2020</v>
      </c>
      <c r="AA150" s="394">
        <v>43983</v>
      </c>
      <c r="AB150" s="398">
        <f>'AUX UF'!C149</f>
        <v>28709.147333333302</v>
      </c>
      <c r="AC150" s="325">
        <f t="shared" si="13"/>
        <v>2.0834815288488446</v>
      </c>
      <c r="AD150" s="325">
        <f t="shared" si="13"/>
        <v>0.87468386491729411</v>
      </c>
      <c r="AE150" s="325">
        <f t="shared" si="13"/>
        <v>0</v>
      </c>
      <c r="AF150" s="325">
        <f t="shared" si="13"/>
        <v>3.6936937587441685</v>
      </c>
      <c r="AG150" s="325">
        <f t="shared" si="13"/>
        <v>0.31774063050659312</v>
      </c>
      <c r="AH150" s="325">
        <f t="shared" si="16"/>
        <v>1.6698649891401645E-5</v>
      </c>
      <c r="AI150" s="325">
        <f t="shared" si="12"/>
        <v>6.9696164816667912</v>
      </c>
      <c r="AJ150" s="447">
        <f t="shared" si="17"/>
        <v>4.3893657174097944</v>
      </c>
      <c r="AK150" s="447">
        <f t="shared" si="18"/>
        <v>2.5802507642569976</v>
      </c>
    </row>
    <row r="151" spans="2:37" s="63" customFormat="1" ht="12.75" x14ac:dyDescent="0.2">
      <c r="B151" s="325">
        <f t="shared" si="14"/>
        <v>2020</v>
      </c>
      <c r="C151" s="394">
        <v>44013</v>
      </c>
      <c r="D151" s="395">
        <v>45345.935371</v>
      </c>
      <c r="E151" s="395">
        <v>14722.951584</v>
      </c>
      <c r="F151" s="395"/>
      <c r="G151" s="395">
        <v>64938.763322999999</v>
      </c>
      <c r="H151" s="395">
        <v>5072.7611859999997</v>
      </c>
      <c r="I151" s="395">
        <v>0.186975</v>
      </c>
      <c r="J151" s="395">
        <v>130080.59843899999</v>
      </c>
      <c r="K151" s="395">
        <v>16011.8536</v>
      </c>
      <c r="L151" s="395">
        <v>11013.923298</v>
      </c>
      <c r="M151" s="395"/>
      <c r="N151" s="395">
        <v>45060.808461000001</v>
      </c>
      <c r="O151" s="395">
        <v>4309.6237300000003</v>
      </c>
      <c r="P151" s="395">
        <v>0.14133299999999999</v>
      </c>
      <c r="Q151" s="395">
        <v>76396.350422000003</v>
      </c>
      <c r="R151" s="395">
        <v>61357.788971000002</v>
      </c>
      <c r="S151" s="395">
        <v>25736.874882</v>
      </c>
      <c r="T151" s="395"/>
      <c r="U151" s="395">
        <v>109999.571784</v>
      </c>
      <c r="V151" s="395">
        <v>9382.3849160000009</v>
      </c>
      <c r="W151" s="396">
        <v>0.32830799999999999</v>
      </c>
      <c r="X151" s="395">
        <v>206476.94886100001</v>
      </c>
      <c r="Y151" s="397"/>
      <c r="Z151" s="325">
        <f t="shared" si="15"/>
        <v>2020</v>
      </c>
      <c r="AA151" s="394">
        <v>44013</v>
      </c>
      <c r="AB151" s="398">
        <f>'AUX UF'!C150</f>
        <v>28681.357419354801</v>
      </c>
      <c r="AC151" s="325">
        <f t="shared" si="13"/>
        <v>2.1392916685872905</v>
      </c>
      <c r="AD151" s="325">
        <f t="shared" si="13"/>
        <v>0.89733810383159196</v>
      </c>
      <c r="AE151" s="325">
        <f t="shared" si="13"/>
        <v>0</v>
      </c>
      <c r="AF151" s="325">
        <f t="shared" si="13"/>
        <v>3.8352289320089819</v>
      </c>
      <c r="AG151" s="325">
        <f t="shared" si="13"/>
        <v>0.32712485601077457</v>
      </c>
      <c r="AH151" s="325">
        <f t="shared" si="16"/>
        <v>1.1446738562605501E-5</v>
      </c>
      <c r="AI151" s="325">
        <f t="shared" si="12"/>
        <v>7.198995007177202</v>
      </c>
      <c r="AJ151" s="447">
        <f t="shared" si="17"/>
        <v>4.5353710613159048</v>
      </c>
      <c r="AK151" s="447">
        <f t="shared" si="18"/>
        <v>2.6636239458612962</v>
      </c>
    </row>
    <row r="152" spans="2:37" s="63" customFormat="1" ht="12.75" x14ac:dyDescent="0.2">
      <c r="B152" s="325">
        <f t="shared" si="14"/>
        <v>2020</v>
      </c>
      <c r="C152" s="394">
        <v>44044</v>
      </c>
      <c r="D152" s="395">
        <v>45306.102684999998</v>
      </c>
      <c r="E152" s="395">
        <v>14699.610553</v>
      </c>
      <c r="F152" s="395"/>
      <c r="G152" s="395">
        <v>65312.368181999998</v>
      </c>
      <c r="H152" s="395">
        <v>5071.8088790000002</v>
      </c>
      <c r="I152" s="395">
        <v>0.15948200000000001</v>
      </c>
      <c r="J152" s="395">
        <v>130390.04978100001</v>
      </c>
      <c r="K152" s="395">
        <v>15937.487356</v>
      </c>
      <c r="L152" s="395">
        <v>11014.244516999999</v>
      </c>
      <c r="M152" s="395"/>
      <c r="N152" s="395">
        <v>45301.512495000003</v>
      </c>
      <c r="O152" s="395">
        <v>4314.0289469999998</v>
      </c>
      <c r="P152" s="395">
        <v>0.14830199999999999</v>
      </c>
      <c r="Q152" s="395">
        <v>76567.421617</v>
      </c>
      <c r="R152" s="395">
        <v>61243.590040999996</v>
      </c>
      <c r="S152" s="395">
        <v>25713.855069999998</v>
      </c>
      <c r="T152" s="395"/>
      <c r="U152" s="395">
        <v>110613.88067700001</v>
      </c>
      <c r="V152" s="395">
        <v>9385.837825999999</v>
      </c>
      <c r="W152" s="396">
        <v>0.307784</v>
      </c>
      <c r="X152" s="395">
        <v>206957.47139800002</v>
      </c>
      <c r="Y152" s="397"/>
      <c r="Z152" s="325">
        <f t="shared" si="15"/>
        <v>2020</v>
      </c>
      <c r="AA152" s="394">
        <v>44044</v>
      </c>
      <c r="AB152" s="398">
        <f>'AUX UF'!C151</f>
        <v>28667.727741935501</v>
      </c>
      <c r="AC152" s="325">
        <f t="shared" si="13"/>
        <v>2.1363252292720825</v>
      </c>
      <c r="AD152" s="325">
        <f t="shared" si="13"/>
        <v>0.8969617439328984</v>
      </c>
      <c r="AE152" s="325">
        <f t="shared" si="13"/>
        <v>0</v>
      </c>
      <c r="AF152" s="325">
        <f t="shared" si="13"/>
        <v>3.858480925755154</v>
      </c>
      <c r="AG152" s="325">
        <f t="shared" si="13"/>
        <v>0.32740082892130584</v>
      </c>
      <c r="AH152" s="325">
        <f t="shared" si="16"/>
        <v>1.0736253768371388E-5</v>
      </c>
      <c r="AI152" s="325">
        <f t="shared" si="12"/>
        <v>7.2191794641352098</v>
      </c>
      <c r="AJ152" s="447">
        <f t="shared" si="17"/>
        <v>4.5483217559047713</v>
      </c>
      <c r="AK152" s="447">
        <f t="shared" si="18"/>
        <v>2.6708577082304381</v>
      </c>
    </row>
    <row r="153" spans="2:37" s="63" customFormat="1" ht="12.75" x14ac:dyDescent="0.2">
      <c r="B153" s="325">
        <f t="shared" si="14"/>
        <v>2020</v>
      </c>
      <c r="C153" s="394">
        <v>44075</v>
      </c>
      <c r="D153" s="395">
        <v>45321.808816999997</v>
      </c>
      <c r="E153" s="395">
        <v>14670.557101</v>
      </c>
      <c r="F153" s="395"/>
      <c r="G153" s="395">
        <v>65768.817580999996</v>
      </c>
      <c r="H153" s="395">
        <v>5069.7164059999996</v>
      </c>
      <c r="I153" s="395">
        <v>0.15942200000000001</v>
      </c>
      <c r="J153" s="395">
        <v>130831.059327</v>
      </c>
      <c r="K153" s="395">
        <v>15876.717643</v>
      </c>
      <c r="L153" s="395">
        <v>11009.952499000001</v>
      </c>
      <c r="M153" s="395"/>
      <c r="N153" s="395">
        <v>45549.264078</v>
      </c>
      <c r="O153" s="395">
        <v>4314.4694950000003</v>
      </c>
      <c r="P153" s="395">
        <v>0.18595600000000001</v>
      </c>
      <c r="Q153" s="395">
        <v>76750.589670999994</v>
      </c>
      <c r="R153" s="395">
        <v>61198.526459999994</v>
      </c>
      <c r="S153" s="395">
        <v>25680.509600000001</v>
      </c>
      <c r="T153" s="395"/>
      <c r="U153" s="395">
        <v>111318.08165899999</v>
      </c>
      <c r="V153" s="395">
        <v>9384.1859010000007</v>
      </c>
      <c r="W153" s="396">
        <v>0.34537800000000002</v>
      </c>
      <c r="X153" s="395">
        <v>207581.64899799999</v>
      </c>
      <c r="Y153" s="397"/>
      <c r="Z153" s="325">
        <f t="shared" si="15"/>
        <v>2020</v>
      </c>
      <c r="AA153" s="394">
        <v>44075</v>
      </c>
      <c r="AB153" s="398">
        <f>'AUX UF'!C152</f>
        <v>28694.021333333301</v>
      </c>
      <c r="AC153" s="325">
        <f t="shared" si="13"/>
        <v>2.1327971339070144</v>
      </c>
      <c r="AD153" s="325">
        <f t="shared" si="13"/>
        <v>0.89497771335966214</v>
      </c>
      <c r="AE153" s="325">
        <f t="shared" si="13"/>
        <v>0</v>
      </c>
      <c r="AF153" s="325">
        <f t="shared" si="13"/>
        <v>3.8794869623130821</v>
      </c>
      <c r="AG153" s="325">
        <f t="shared" si="13"/>
        <v>0.32704324681387792</v>
      </c>
      <c r="AH153" s="325">
        <f t="shared" si="16"/>
        <v>1.2036584067036324E-5</v>
      </c>
      <c r="AI153" s="325">
        <f t="shared" si="12"/>
        <v>7.2343170929777036</v>
      </c>
      <c r="AJ153" s="447">
        <f t="shared" si="17"/>
        <v>4.5595233169711218</v>
      </c>
      <c r="AK153" s="447">
        <f t="shared" si="18"/>
        <v>2.6747937760065819</v>
      </c>
    </row>
    <row r="154" spans="2:37" s="63" customFormat="1" ht="12.75" x14ac:dyDescent="0.2">
      <c r="B154" s="325">
        <f t="shared" si="14"/>
        <v>2020</v>
      </c>
      <c r="C154" s="394">
        <v>44105</v>
      </c>
      <c r="D154" s="395">
        <v>45236.459304000004</v>
      </c>
      <c r="E154" s="395">
        <v>14636.485967000001</v>
      </c>
      <c r="F154" s="395"/>
      <c r="G154" s="395">
        <v>66275.487599999993</v>
      </c>
      <c r="H154" s="395">
        <v>5075.4602320000004</v>
      </c>
      <c r="I154" s="395">
        <v>0.1593</v>
      </c>
      <c r="J154" s="395">
        <v>131224.05240300001</v>
      </c>
      <c r="K154" s="395">
        <v>15822.313873999999</v>
      </c>
      <c r="L154" s="395">
        <v>11013.062727</v>
      </c>
      <c r="M154" s="395"/>
      <c r="N154" s="395">
        <v>45789.821788000001</v>
      </c>
      <c r="O154" s="395">
        <v>4318.9913989999995</v>
      </c>
      <c r="P154" s="395">
        <v>0.185693</v>
      </c>
      <c r="Q154" s="395">
        <v>76944.37548100001</v>
      </c>
      <c r="R154" s="395">
        <v>61058.773178000003</v>
      </c>
      <c r="S154" s="395">
        <v>25649.548694000001</v>
      </c>
      <c r="T154" s="395"/>
      <c r="U154" s="395">
        <v>112065.30938799999</v>
      </c>
      <c r="V154" s="395">
        <v>9394.4516309999999</v>
      </c>
      <c r="W154" s="396">
        <v>0.34499299999999999</v>
      </c>
      <c r="X154" s="395">
        <v>208168.427884</v>
      </c>
      <c r="Y154" s="397"/>
      <c r="Z154" s="325">
        <f t="shared" si="15"/>
        <v>2020</v>
      </c>
      <c r="AA154" s="394">
        <v>44105</v>
      </c>
      <c r="AB154" s="398">
        <f>'AUX UF'!C153</f>
        <v>28760.638709677401</v>
      </c>
      <c r="AC154" s="325">
        <f t="shared" si="13"/>
        <v>2.1229978163682053</v>
      </c>
      <c r="AD154" s="325">
        <f t="shared" si="13"/>
        <v>0.89182820148460129</v>
      </c>
      <c r="AE154" s="325">
        <f t="shared" si="13"/>
        <v>0</v>
      </c>
      <c r="AF154" s="325">
        <f t="shared" ref="AF154:AH204" si="19">+U154/$AB154</f>
        <v>3.8964819425339177</v>
      </c>
      <c r="AG154" s="325">
        <f t="shared" si="19"/>
        <v>0.32664266346209297</v>
      </c>
      <c r="AH154" s="325">
        <f t="shared" si="16"/>
        <v>1.199531774946001E-5</v>
      </c>
      <c r="AI154" s="325">
        <f t="shared" si="12"/>
        <v>7.2379626191665674</v>
      </c>
      <c r="AJ154" s="447">
        <f t="shared" si="17"/>
        <v>4.5626265024095467</v>
      </c>
      <c r="AK154" s="447">
        <f t="shared" si="18"/>
        <v>2.6753361167570215</v>
      </c>
    </row>
    <row r="155" spans="2:37" s="63" customFormat="1" ht="12.75" x14ac:dyDescent="0.2">
      <c r="B155" s="325">
        <f t="shared" si="14"/>
        <v>2020</v>
      </c>
      <c r="C155" s="394">
        <v>44136</v>
      </c>
      <c r="D155" s="395">
        <v>45232.599262999996</v>
      </c>
      <c r="E155" s="395">
        <v>14607.787044999999</v>
      </c>
      <c r="F155" s="395"/>
      <c r="G155" s="395">
        <v>67057.614180999997</v>
      </c>
      <c r="H155" s="395">
        <v>5074.6666150000001</v>
      </c>
      <c r="I155" s="395">
        <v>0.158718</v>
      </c>
      <c r="J155" s="395">
        <v>131972.82582199998</v>
      </c>
      <c r="K155" s="395">
        <v>15788.809746000001</v>
      </c>
      <c r="L155" s="395">
        <v>11019.986430000001</v>
      </c>
      <c r="M155" s="395"/>
      <c r="N155" s="395">
        <v>46130.794786999999</v>
      </c>
      <c r="O155" s="395">
        <v>4331.3582999999999</v>
      </c>
      <c r="P155" s="395">
        <v>0.14746899999999999</v>
      </c>
      <c r="Q155" s="395">
        <v>77271.096731999991</v>
      </c>
      <c r="R155" s="395">
        <v>61021.409008999995</v>
      </c>
      <c r="S155" s="395">
        <v>25627.773475000002</v>
      </c>
      <c r="T155" s="395"/>
      <c r="U155" s="395">
        <v>113188.408968</v>
      </c>
      <c r="V155" s="395">
        <v>9406.024915</v>
      </c>
      <c r="W155" s="396">
        <v>0.30618699999999999</v>
      </c>
      <c r="X155" s="395">
        <v>209243.92255399999</v>
      </c>
      <c r="Y155" s="397"/>
      <c r="Z155" s="325">
        <f t="shared" si="15"/>
        <v>2020</v>
      </c>
      <c r="AA155" s="394">
        <v>44136</v>
      </c>
      <c r="AB155" s="398">
        <f>'AUX UF'!C154</f>
        <v>28933.883000000002</v>
      </c>
      <c r="AC155" s="325">
        <f t="shared" ref="AC155:AE204" si="20">+R155/$AB155</f>
        <v>2.1089948075410407</v>
      </c>
      <c r="AD155" s="325">
        <f t="shared" si="20"/>
        <v>0.88573571252085315</v>
      </c>
      <c r="AE155" s="325">
        <f t="shared" si="20"/>
        <v>0</v>
      </c>
      <c r="AF155" s="325">
        <f t="shared" si="19"/>
        <v>3.9119674662401862</v>
      </c>
      <c r="AG155" s="325">
        <f t="shared" si="19"/>
        <v>0.32508685111500585</v>
      </c>
      <c r="AH155" s="325">
        <f t="shared" si="16"/>
        <v>1.0582298960702924E-5</v>
      </c>
      <c r="AI155" s="325">
        <f t="shared" si="12"/>
        <v>7.2317954197160468</v>
      </c>
      <c r="AJ155" s="447">
        <f t="shared" si="17"/>
        <v>4.5611861298395375</v>
      </c>
      <c r="AK155" s="447">
        <f t="shared" si="18"/>
        <v>2.6706092898765088</v>
      </c>
    </row>
    <row r="156" spans="2:37" s="63" customFormat="1" ht="12.75" x14ac:dyDescent="0.2">
      <c r="B156" s="325">
        <f t="shared" si="14"/>
        <v>2020</v>
      </c>
      <c r="C156" s="394">
        <v>44166</v>
      </c>
      <c r="D156" s="395">
        <v>45341.815088000003</v>
      </c>
      <c r="E156" s="395">
        <v>14579.214443999999</v>
      </c>
      <c r="F156" s="395"/>
      <c r="G156" s="395">
        <v>67767.224564999997</v>
      </c>
      <c r="H156" s="395">
        <v>5063.9517390000001</v>
      </c>
      <c r="I156" s="395">
        <v>0.299263</v>
      </c>
      <c r="J156" s="395">
        <v>132752.505099</v>
      </c>
      <c r="K156" s="395">
        <v>15810.698446</v>
      </c>
      <c r="L156" s="395">
        <v>11034.926487000001</v>
      </c>
      <c r="M156" s="395"/>
      <c r="N156" s="395">
        <v>46418.317055</v>
      </c>
      <c r="O156" s="395">
        <v>4326.9196650000004</v>
      </c>
      <c r="P156" s="395">
        <v>0.146565</v>
      </c>
      <c r="Q156" s="395">
        <v>77591.008218000003</v>
      </c>
      <c r="R156" s="395">
        <v>61152.513534000005</v>
      </c>
      <c r="S156" s="395">
        <v>25614.140931000002</v>
      </c>
      <c r="T156" s="395"/>
      <c r="U156" s="395">
        <v>114185.54162</v>
      </c>
      <c r="V156" s="395">
        <v>9390.8714040000013</v>
      </c>
      <c r="W156" s="396">
        <v>0.445828</v>
      </c>
      <c r="X156" s="395">
        <v>210343.513317</v>
      </c>
      <c r="Y156" s="397"/>
      <c r="Z156" s="325">
        <f t="shared" si="15"/>
        <v>2020</v>
      </c>
      <c r="AA156" s="394">
        <v>44166</v>
      </c>
      <c r="AB156" s="398">
        <f>'AUX UF'!C155</f>
        <v>29075.469677419402</v>
      </c>
      <c r="AC156" s="325">
        <f t="shared" si="20"/>
        <v>2.1032339017206758</v>
      </c>
      <c r="AD156" s="325">
        <f t="shared" si="20"/>
        <v>0.88095364288792422</v>
      </c>
      <c r="AE156" s="325">
        <f t="shared" si="20"/>
        <v>0</v>
      </c>
      <c r="AF156" s="325">
        <f t="shared" si="19"/>
        <v>3.9272122819284605</v>
      </c>
      <c r="AG156" s="325">
        <f t="shared" si="19"/>
        <v>0.32298262102686315</v>
      </c>
      <c r="AH156" s="325">
        <f t="shared" si="16"/>
        <v>1.5333475432943361E-5</v>
      </c>
      <c r="AI156" s="325">
        <f t="shared" si="12"/>
        <v>7.2343977810393563</v>
      </c>
      <c r="AJ156" s="447">
        <f t="shared" si="17"/>
        <v>4.5657905640677674</v>
      </c>
      <c r="AK156" s="447">
        <f t="shared" si="18"/>
        <v>2.6686072169715884</v>
      </c>
    </row>
    <row r="157" spans="2:37" s="63" customFormat="1" ht="12.75" x14ac:dyDescent="0.2">
      <c r="B157" s="325">
        <f t="shared" si="14"/>
        <v>2021</v>
      </c>
      <c r="C157" s="394">
        <v>44197</v>
      </c>
      <c r="D157" s="395">
        <v>49707.068979999996</v>
      </c>
      <c r="E157" s="395">
        <v>16294.392147</v>
      </c>
      <c r="F157" s="395"/>
      <c r="G157" s="395">
        <v>76453.709690999996</v>
      </c>
      <c r="H157" s="395">
        <v>5716.9246009999997</v>
      </c>
      <c r="I157" s="395">
        <v>0.35001900000000002</v>
      </c>
      <c r="J157" s="395">
        <v>148172.445438</v>
      </c>
      <c r="K157" s="395">
        <v>17217.079755999999</v>
      </c>
      <c r="L157" s="395">
        <v>12364.287101</v>
      </c>
      <c r="M157" s="395"/>
      <c r="N157" s="395">
        <v>53183.399122000003</v>
      </c>
      <c r="O157" s="395">
        <v>4910.7950300000002</v>
      </c>
      <c r="P157" s="395">
        <v>0.21627299999999999</v>
      </c>
      <c r="Q157" s="395">
        <v>87675.777281999995</v>
      </c>
      <c r="R157" s="395">
        <v>66924.148736000003</v>
      </c>
      <c r="S157" s="395">
        <v>28658.679248</v>
      </c>
      <c r="T157" s="395"/>
      <c r="U157" s="395">
        <v>129637.108813</v>
      </c>
      <c r="V157" s="395">
        <v>10627.719631</v>
      </c>
      <c r="W157" s="396">
        <v>0.56629200000000002</v>
      </c>
      <c r="X157" s="395">
        <v>235848.22271999999</v>
      </c>
      <c r="Y157" s="397"/>
      <c r="Z157" s="325">
        <f t="shared" si="15"/>
        <v>2021</v>
      </c>
      <c r="AA157" s="394">
        <v>44197</v>
      </c>
      <c r="AB157" s="398">
        <f>'AUX UF'!C156</f>
        <v>29085.914838709701</v>
      </c>
      <c r="AC157" s="325">
        <f t="shared" si="20"/>
        <v>2.3009126275420555</v>
      </c>
      <c r="AD157" s="325">
        <f t="shared" si="20"/>
        <v>0.98531125484349202</v>
      </c>
      <c r="AE157" s="325">
        <f t="shared" si="20"/>
        <v>0</v>
      </c>
      <c r="AF157" s="325">
        <f t="shared" si="19"/>
        <v>4.4570407887074355</v>
      </c>
      <c r="AG157" s="325">
        <f t="shared" si="19"/>
        <v>0.3653905916294522</v>
      </c>
      <c r="AH157" s="325">
        <f t="shared" si="16"/>
        <v>1.9469629995833461E-5</v>
      </c>
      <c r="AI157" s="325">
        <f t="shared" si="12"/>
        <v>8.1086747323524317</v>
      </c>
      <c r="AJ157" s="447">
        <f t="shared" si="17"/>
        <v>5.0943023886187371</v>
      </c>
      <c r="AK157" s="447">
        <f t="shared" si="18"/>
        <v>3.0143723437336942</v>
      </c>
    </row>
    <row r="158" spans="2:37" s="63" customFormat="1" ht="12.75" x14ac:dyDescent="0.2">
      <c r="B158" s="325">
        <f t="shared" si="14"/>
        <v>2021</v>
      </c>
      <c r="C158" s="394">
        <v>44228</v>
      </c>
      <c r="D158" s="395">
        <v>49710.219507000002</v>
      </c>
      <c r="E158" s="395">
        <v>16242.030033999999</v>
      </c>
      <c r="F158" s="395"/>
      <c r="G158" s="395">
        <v>76669.977293000004</v>
      </c>
      <c r="H158" s="395">
        <v>5715.1471009999996</v>
      </c>
      <c r="I158" s="395">
        <v>0.20802699999999999</v>
      </c>
      <c r="J158" s="395">
        <v>148337.581962</v>
      </c>
      <c r="K158" s="395">
        <v>17178.6427</v>
      </c>
      <c r="L158" s="395">
        <v>12360.855779</v>
      </c>
      <c r="M158" s="395"/>
      <c r="N158" s="395">
        <v>53338.413877999999</v>
      </c>
      <c r="O158" s="395">
        <v>4911.0506889999997</v>
      </c>
      <c r="P158" s="395">
        <v>0.18007400000000001</v>
      </c>
      <c r="Q158" s="395">
        <v>87789.143119999993</v>
      </c>
      <c r="R158" s="395">
        <v>66888.862206999998</v>
      </c>
      <c r="S158" s="395">
        <v>28602.885813000001</v>
      </c>
      <c r="T158" s="395"/>
      <c r="U158" s="395">
        <v>130008.391171</v>
      </c>
      <c r="V158" s="395">
        <v>10626.197789999998</v>
      </c>
      <c r="W158" s="396">
        <v>0.38810100000000003</v>
      </c>
      <c r="X158" s="395">
        <v>236126.72508199999</v>
      </c>
      <c r="Y158" s="397"/>
      <c r="Z158" s="325">
        <f t="shared" si="15"/>
        <v>2021</v>
      </c>
      <c r="AA158" s="394">
        <v>44228</v>
      </c>
      <c r="AB158" s="398">
        <f>'AUX UF'!C157</f>
        <v>29194.814642857102</v>
      </c>
      <c r="AC158" s="325">
        <f t="shared" si="20"/>
        <v>2.2911213181264447</v>
      </c>
      <c r="AD158" s="325">
        <f t="shared" si="20"/>
        <v>0.97972486425763539</v>
      </c>
      <c r="AE158" s="325">
        <f t="shared" si="20"/>
        <v>0</v>
      </c>
      <c r="AF158" s="325">
        <f t="shared" si="19"/>
        <v>4.4531329539647642</v>
      </c>
      <c r="AG158" s="325">
        <f t="shared" si="19"/>
        <v>0.3639755182552542</v>
      </c>
      <c r="AH158" s="325">
        <f t="shared" si="16"/>
        <v>1.3293490804708845E-5</v>
      </c>
      <c r="AI158" s="325">
        <f t="shared" si="12"/>
        <v>8.0879679480949029</v>
      </c>
      <c r="AJ158" s="447">
        <f t="shared" si="17"/>
        <v>5.0809564567073817</v>
      </c>
      <c r="AK158" s="447">
        <f t="shared" si="18"/>
        <v>3.0070114913875217</v>
      </c>
    </row>
    <row r="159" spans="2:37" s="63" customFormat="1" ht="12.75" x14ac:dyDescent="0.2">
      <c r="B159" s="325">
        <f t="shared" si="14"/>
        <v>2021</v>
      </c>
      <c r="C159" s="394">
        <v>44256</v>
      </c>
      <c r="D159" s="395">
        <v>49759.756866999996</v>
      </c>
      <c r="E159" s="395">
        <v>16217.796039999999</v>
      </c>
      <c r="F159" s="395"/>
      <c r="G159" s="395">
        <v>77415.895508000001</v>
      </c>
      <c r="H159" s="395">
        <v>5717.7864879999997</v>
      </c>
      <c r="I159" s="395">
        <v>0.207428</v>
      </c>
      <c r="J159" s="395">
        <v>149111.442331</v>
      </c>
      <c r="K159" s="395">
        <v>17174.602620999998</v>
      </c>
      <c r="L159" s="395">
        <v>12369.934705</v>
      </c>
      <c r="M159" s="395"/>
      <c r="N159" s="395">
        <v>53676.118047999997</v>
      </c>
      <c r="O159" s="395">
        <v>4918.6561160000001</v>
      </c>
      <c r="P159" s="395">
        <v>0.19001199999999999</v>
      </c>
      <c r="Q159" s="395">
        <v>88139.501501999999</v>
      </c>
      <c r="R159" s="395">
        <v>66934.359487999987</v>
      </c>
      <c r="S159" s="395">
        <v>28587.730745000001</v>
      </c>
      <c r="T159" s="395"/>
      <c r="U159" s="395">
        <v>131092.01355599999</v>
      </c>
      <c r="V159" s="395">
        <v>10636.442604</v>
      </c>
      <c r="W159" s="396">
        <v>0.39744000000000002</v>
      </c>
      <c r="X159" s="395">
        <v>237250.943833</v>
      </c>
      <c r="Y159" s="397"/>
      <c r="Z159" s="325">
        <f t="shared" si="15"/>
        <v>2021</v>
      </c>
      <c r="AA159" s="394">
        <v>44256</v>
      </c>
      <c r="AB159" s="398">
        <f>'AUX UF'!C158</f>
        <v>29360.0819354839</v>
      </c>
      <c r="AC159" s="325">
        <f t="shared" si="20"/>
        <v>2.2797742743048923</v>
      </c>
      <c r="AD159" s="325">
        <f t="shared" si="20"/>
        <v>0.97369383395519571</v>
      </c>
      <c r="AE159" s="325">
        <f t="shared" si="20"/>
        <v>0</v>
      </c>
      <c r="AF159" s="325">
        <f t="shared" si="19"/>
        <v>4.4649743772535349</v>
      </c>
      <c r="AG159" s="325">
        <f t="shared" si="19"/>
        <v>0.36227564444038718</v>
      </c>
      <c r="AH159" s="325">
        <f t="shared" si="16"/>
        <v>1.3536746963899424E-5</v>
      </c>
      <c r="AI159" s="325">
        <f t="shared" si="12"/>
        <v>8.0807316667009754</v>
      </c>
      <c r="AJ159" s="447">
        <f t="shared" si="17"/>
        <v>5.0787134265721319</v>
      </c>
      <c r="AK159" s="447">
        <f t="shared" si="18"/>
        <v>3.0020182401288427</v>
      </c>
    </row>
    <row r="160" spans="2:37" s="63" customFormat="1" ht="12.75" x14ac:dyDescent="0.2">
      <c r="B160" s="325">
        <f t="shared" si="14"/>
        <v>2021</v>
      </c>
      <c r="C160" s="394">
        <v>44287</v>
      </c>
      <c r="D160" s="395">
        <v>49815.834488</v>
      </c>
      <c r="E160" s="395">
        <v>16240.933376000001</v>
      </c>
      <c r="F160" s="395"/>
      <c r="G160" s="395">
        <v>78157.630571000002</v>
      </c>
      <c r="H160" s="395">
        <v>5771.7530299999999</v>
      </c>
      <c r="I160" s="395">
        <v>0.20732200000000001</v>
      </c>
      <c r="J160" s="395">
        <v>149986.35878699998</v>
      </c>
      <c r="K160" s="395">
        <v>17180.273634000001</v>
      </c>
      <c r="L160" s="395">
        <v>12409.632129</v>
      </c>
      <c r="M160" s="395"/>
      <c r="N160" s="395">
        <v>54028.183061999996</v>
      </c>
      <c r="O160" s="395">
        <v>5000.8322950000002</v>
      </c>
      <c r="P160" s="395">
        <v>0.36400300000000002</v>
      </c>
      <c r="Q160" s="395">
        <v>88619.285122999994</v>
      </c>
      <c r="R160" s="395">
        <v>66996.108122000005</v>
      </c>
      <c r="S160" s="395">
        <v>28650.565504999999</v>
      </c>
      <c r="T160" s="395"/>
      <c r="U160" s="395">
        <v>132185.81363300001</v>
      </c>
      <c r="V160" s="395">
        <v>10772.585325</v>
      </c>
      <c r="W160" s="396">
        <v>0.57132500000000008</v>
      </c>
      <c r="X160" s="395">
        <v>238605.64390999998</v>
      </c>
      <c r="Y160" s="397"/>
      <c r="Z160" s="325">
        <f t="shared" si="15"/>
        <v>2021</v>
      </c>
      <c r="AA160" s="394">
        <v>44287</v>
      </c>
      <c r="AB160" s="398">
        <f>'AUX UF'!C159</f>
        <v>29439.7186666667</v>
      </c>
      <c r="AC160" s="325">
        <f t="shared" si="20"/>
        <v>2.2757047674459185</v>
      </c>
      <c r="AD160" s="325">
        <f t="shared" si="20"/>
        <v>0.97319426959877087</v>
      </c>
      <c r="AE160" s="325">
        <f t="shared" si="20"/>
        <v>0</v>
      </c>
      <c r="AF160" s="325">
        <f t="shared" si="19"/>
        <v>4.4900501641908761</v>
      </c>
      <c r="AG160" s="325">
        <f t="shared" si="19"/>
        <v>0.36592011788473117</v>
      </c>
      <c r="AH160" s="325">
        <f t="shared" si="16"/>
        <v>1.9406605289570456E-5</v>
      </c>
      <c r="AI160" s="325">
        <f t="shared" si="12"/>
        <v>8.1048887257255853</v>
      </c>
      <c r="AJ160" s="447">
        <f t="shared" si="17"/>
        <v>5.0946940249406305</v>
      </c>
      <c r="AK160" s="447">
        <f t="shared" si="18"/>
        <v>3.0101947007849539</v>
      </c>
    </row>
    <row r="161" spans="2:37" s="63" customFormat="1" ht="12.75" x14ac:dyDescent="0.2">
      <c r="B161" s="325">
        <f t="shared" si="14"/>
        <v>2021</v>
      </c>
      <c r="C161" s="394">
        <v>44317</v>
      </c>
      <c r="D161" s="395">
        <v>49842.484651999999</v>
      </c>
      <c r="E161" s="395">
        <v>16188.048558</v>
      </c>
      <c r="F161" s="395"/>
      <c r="G161" s="395">
        <v>78848.211272</v>
      </c>
      <c r="H161" s="395">
        <v>5860.9199070000004</v>
      </c>
      <c r="I161" s="395">
        <v>0.219859</v>
      </c>
      <c r="J161" s="395">
        <v>150739.88424800002</v>
      </c>
      <c r="K161" s="395">
        <v>17165.173605</v>
      </c>
      <c r="L161" s="395">
        <v>12399.905357</v>
      </c>
      <c r="M161" s="395"/>
      <c r="N161" s="395">
        <v>54396.869186999997</v>
      </c>
      <c r="O161" s="395">
        <v>5119.9811149999996</v>
      </c>
      <c r="P161" s="395">
        <v>0.40241300000000002</v>
      </c>
      <c r="Q161" s="395">
        <v>89082.331677000009</v>
      </c>
      <c r="R161" s="395">
        <v>67007.658257000003</v>
      </c>
      <c r="S161" s="395">
        <v>28587.953914999998</v>
      </c>
      <c r="T161" s="395"/>
      <c r="U161" s="395">
        <v>133245.08045899999</v>
      </c>
      <c r="V161" s="395">
        <v>10980.901022</v>
      </c>
      <c r="W161" s="396">
        <v>0.62227200000000005</v>
      </c>
      <c r="X161" s="395">
        <v>239822.21592500003</v>
      </c>
      <c r="Y161" s="397"/>
      <c r="Z161" s="325">
        <f t="shared" si="15"/>
        <v>2021</v>
      </c>
      <c r="AA161" s="394">
        <v>44317</v>
      </c>
      <c r="AB161" s="398">
        <f>'AUX UF'!C160</f>
        <v>29555.982580645199</v>
      </c>
      <c r="AC161" s="325">
        <f t="shared" si="20"/>
        <v>2.2671436510075669</v>
      </c>
      <c r="AD161" s="325">
        <f t="shared" si="20"/>
        <v>0.96724762362395234</v>
      </c>
      <c r="AE161" s="325">
        <f t="shared" si="20"/>
        <v>0</v>
      </c>
      <c r="AF161" s="325">
        <f t="shared" si="19"/>
        <v>4.5082270601369157</v>
      </c>
      <c r="AG161" s="325">
        <f t="shared" si="19"/>
        <v>0.37152887717530553</v>
      </c>
      <c r="AH161" s="325">
        <f t="shared" si="16"/>
        <v>2.1054011596538707E-5</v>
      </c>
      <c r="AI161" s="325">
        <f t="shared" si="12"/>
        <v>8.1141682659553371</v>
      </c>
      <c r="AJ161" s="447">
        <f t="shared" si="17"/>
        <v>5.1001479594426469</v>
      </c>
      <c r="AK161" s="447">
        <f t="shared" si="18"/>
        <v>3.0140203065126911</v>
      </c>
    </row>
    <row r="162" spans="2:37" s="63" customFormat="1" ht="12.75" x14ac:dyDescent="0.2">
      <c r="B162" s="325">
        <f t="shared" si="14"/>
        <v>2021</v>
      </c>
      <c r="C162" s="394">
        <v>44348</v>
      </c>
      <c r="D162" s="395">
        <v>49829.768322000004</v>
      </c>
      <c r="E162" s="395">
        <v>16202.506541000001</v>
      </c>
      <c r="F162" s="395"/>
      <c r="G162" s="395">
        <v>79580.831512000004</v>
      </c>
      <c r="H162" s="395">
        <v>5920.9382569999998</v>
      </c>
      <c r="I162" s="395">
        <v>0.218829</v>
      </c>
      <c r="J162" s="395">
        <v>151534.263461</v>
      </c>
      <c r="K162" s="395">
        <v>17128.034948</v>
      </c>
      <c r="L162" s="395">
        <v>12428.740019999999</v>
      </c>
      <c r="M162" s="395"/>
      <c r="N162" s="395">
        <v>54796.786969000001</v>
      </c>
      <c r="O162" s="395">
        <v>5212.5616920000002</v>
      </c>
      <c r="P162" s="395">
        <v>0.57139200000000001</v>
      </c>
      <c r="Q162" s="395">
        <v>89566.695020999992</v>
      </c>
      <c r="R162" s="395">
        <v>66957.803270000004</v>
      </c>
      <c r="S162" s="395">
        <v>28631.246561</v>
      </c>
      <c r="T162" s="395"/>
      <c r="U162" s="395">
        <v>134377.61848100001</v>
      </c>
      <c r="V162" s="395">
        <v>11133.499949000001</v>
      </c>
      <c r="W162" s="396">
        <v>0.79022100000000006</v>
      </c>
      <c r="X162" s="395">
        <v>241100.95848199999</v>
      </c>
      <c r="Y162" s="397"/>
      <c r="Z162" s="325">
        <f t="shared" si="15"/>
        <v>2021</v>
      </c>
      <c r="AA162" s="394">
        <v>44348</v>
      </c>
      <c r="AB162" s="398">
        <f>'AUX UF'!C161</f>
        <v>29665.83</v>
      </c>
      <c r="AC162" s="325">
        <f t="shared" si="20"/>
        <v>2.257068259003709</v>
      </c>
      <c r="AD162" s="325">
        <f t="shared" si="20"/>
        <v>0.96512541739098479</v>
      </c>
      <c r="AE162" s="325">
        <f t="shared" si="20"/>
        <v>0</v>
      </c>
      <c r="AF162" s="325">
        <f t="shared" si="19"/>
        <v>4.5297103934391858</v>
      </c>
      <c r="AG162" s="325">
        <f t="shared" si="19"/>
        <v>0.3752970993563976</v>
      </c>
      <c r="AH162" s="325">
        <f t="shared" si="16"/>
        <v>2.6637414156286881E-5</v>
      </c>
      <c r="AI162" s="325">
        <f t="shared" si="12"/>
        <v>8.1272278066044326</v>
      </c>
      <c r="AJ162" s="447">
        <f t="shared" si="17"/>
        <v>5.1080405793803845</v>
      </c>
      <c r="AK162" s="447">
        <f t="shared" si="18"/>
        <v>3.0191872272240481</v>
      </c>
    </row>
    <row r="163" spans="2:37" s="63" customFormat="1" ht="12.75" x14ac:dyDescent="0.2">
      <c r="B163" s="325">
        <f t="shared" si="14"/>
        <v>2021</v>
      </c>
      <c r="C163" s="394">
        <v>44378</v>
      </c>
      <c r="D163" s="395">
        <v>51682.733987</v>
      </c>
      <c r="E163" s="395">
        <v>16804.622756000001</v>
      </c>
      <c r="F163" s="395"/>
      <c r="G163" s="395">
        <v>84039.92452</v>
      </c>
      <c r="H163" s="395">
        <v>6212.7309020000002</v>
      </c>
      <c r="I163" s="395">
        <v>0.12404900000000001</v>
      </c>
      <c r="J163" s="395">
        <v>158740.136214</v>
      </c>
      <c r="K163" s="395">
        <v>17743.282727999998</v>
      </c>
      <c r="L163" s="395">
        <v>12911.728976</v>
      </c>
      <c r="M163" s="395"/>
      <c r="N163" s="395">
        <v>57942.903495999999</v>
      </c>
      <c r="O163" s="395">
        <v>5529.0478819999998</v>
      </c>
      <c r="P163" s="395">
        <v>0.64907499999999996</v>
      </c>
      <c r="Q163" s="395">
        <v>94127.612156999981</v>
      </c>
      <c r="R163" s="395">
        <v>69426.016715000005</v>
      </c>
      <c r="S163" s="395">
        <v>29716.351732000003</v>
      </c>
      <c r="T163" s="395"/>
      <c r="U163" s="395">
        <v>141982.82801599998</v>
      </c>
      <c r="V163" s="395">
        <v>11741.778784</v>
      </c>
      <c r="W163" s="396">
        <v>0.77312399999999992</v>
      </c>
      <c r="X163" s="395">
        <v>252867.74837099999</v>
      </c>
      <c r="Y163" s="397"/>
      <c r="Z163" s="325">
        <f t="shared" si="15"/>
        <v>2021</v>
      </c>
      <c r="AA163" s="394">
        <v>44378</v>
      </c>
      <c r="AB163" s="398">
        <f>'AUX UF'!C162</f>
        <v>29740.92</v>
      </c>
      <c r="AC163" s="325">
        <f t="shared" si="20"/>
        <v>2.334360090911781</v>
      </c>
      <c r="AD163" s="325">
        <f t="shared" si="20"/>
        <v>0.99917392373874125</v>
      </c>
      <c r="AE163" s="325">
        <f t="shared" si="20"/>
        <v>0</v>
      </c>
      <c r="AF163" s="325">
        <f t="shared" si="19"/>
        <v>4.7739891037667963</v>
      </c>
      <c r="AG163" s="325">
        <f t="shared" si="19"/>
        <v>0.39480213739184938</v>
      </c>
      <c r="AH163" s="325">
        <f t="shared" si="16"/>
        <v>2.599529537082242E-5</v>
      </c>
      <c r="AI163" s="325">
        <f t="shared" si="12"/>
        <v>8.5023512511045389</v>
      </c>
      <c r="AJ163" s="447">
        <f t="shared" si="17"/>
        <v>5.3374319359992901</v>
      </c>
      <c r="AK163" s="447">
        <f t="shared" si="18"/>
        <v>3.1649193151052484</v>
      </c>
    </row>
    <row r="164" spans="2:37" s="63" customFormat="1" ht="12.75" x14ac:dyDescent="0.2">
      <c r="B164" s="325">
        <f t="shared" si="14"/>
        <v>2021</v>
      </c>
      <c r="C164" s="394">
        <v>44409</v>
      </c>
      <c r="D164" s="395">
        <v>51815.794845999997</v>
      </c>
      <c r="E164" s="395">
        <v>16818.777595</v>
      </c>
      <c r="F164" s="395"/>
      <c r="G164" s="395">
        <v>84989.369709000006</v>
      </c>
      <c r="H164" s="395">
        <v>6258.2633409999999</v>
      </c>
      <c r="I164" s="395">
        <v>0.123973</v>
      </c>
      <c r="J164" s="395">
        <v>159882.32946400004</v>
      </c>
      <c r="K164" s="395">
        <v>17783.453045999999</v>
      </c>
      <c r="L164" s="395">
        <v>12949.563555999999</v>
      </c>
      <c r="M164" s="395"/>
      <c r="N164" s="395">
        <v>58620.563780999997</v>
      </c>
      <c r="O164" s="395">
        <v>5611.7713800000001</v>
      </c>
      <c r="P164" s="395">
        <v>0.60846999999999996</v>
      </c>
      <c r="Q164" s="395">
        <v>94965.960233000005</v>
      </c>
      <c r="R164" s="395">
        <v>69599.247891999999</v>
      </c>
      <c r="S164" s="395">
        <v>29768.341151000001</v>
      </c>
      <c r="T164" s="395"/>
      <c r="U164" s="395">
        <v>143609.93349</v>
      </c>
      <c r="V164" s="395">
        <v>11870.034721</v>
      </c>
      <c r="W164" s="396">
        <v>0.73244299999999996</v>
      </c>
      <c r="X164" s="395">
        <v>254848.28969700006</v>
      </c>
      <c r="Y164" s="397"/>
      <c r="Z164" s="325">
        <f t="shared" si="15"/>
        <v>2021</v>
      </c>
      <c r="AA164" s="394">
        <v>44409</v>
      </c>
      <c r="AB164" s="398">
        <f>'AUX UF'!C163</f>
        <v>29827.728709677402</v>
      </c>
      <c r="AC164" s="325">
        <f t="shared" si="20"/>
        <v>2.333374041631906</v>
      </c>
      <c r="AD164" s="325">
        <f t="shared" si="20"/>
        <v>0.99800898153341011</v>
      </c>
      <c r="AE164" s="325">
        <f t="shared" si="20"/>
        <v>0</v>
      </c>
      <c r="AF164" s="325">
        <f t="shared" si="19"/>
        <v>4.8146452882081743</v>
      </c>
      <c r="AG164" s="325">
        <f t="shared" si="19"/>
        <v>0.39795302004167848</v>
      </c>
      <c r="AH164" s="325">
        <f t="shared" si="16"/>
        <v>2.4555775169108462E-5</v>
      </c>
      <c r="AI164" s="325">
        <f t="shared" si="12"/>
        <v>8.544005887190341</v>
      </c>
      <c r="AJ164" s="447">
        <f t="shared" si="17"/>
        <v>5.3601912173797972</v>
      </c>
      <c r="AK164" s="447">
        <f t="shared" si="18"/>
        <v>3.183814669810543</v>
      </c>
    </row>
    <row r="165" spans="2:37" s="63" customFormat="1" ht="12.75" x14ac:dyDescent="0.2">
      <c r="B165" s="325">
        <f t="shared" si="14"/>
        <v>2021</v>
      </c>
      <c r="C165" s="394">
        <v>44440</v>
      </c>
      <c r="D165" s="395">
        <v>51891.053583000001</v>
      </c>
      <c r="E165" s="395">
        <v>16808.739458</v>
      </c>
      <c r="F165" s="395"/>
      <c r="G165" s="395">
        <v>86059.222452000002</v>
      </c>
      <c r="H165" s="395">
        <v>6273.8380299999999</v>
      </c>
      <c r="I165" s="395">
        <v>0.122706</v>
      </c>
      <c r="J165" s="395">
        <v>161032.97622899999</v>
      </c>
      <c r="K165" s="395">
        <v>17782.944332999999</v>
      </c>
      <c r="L165" s="395">
        <v>12961.471476999999</v>
      </c>
      <c r="M165" s="395"/>
      <c r="N165" s="395">
        <v>59428.030620999998</v>
      </c>
      <c r="O165" s="395">
        <v>5658.1896260000003</v>
      </c>
      <c r="P165" s="395">
        <v>0.59101599999999999</v>
      </c>
      <c r="Q165" s="395">
        <v>95831.227073000002</v>
      </c>
      <c r="R165" s="395">
        <v>69673.997915999993</v>
      </c>
      <c r="S165" s="395">
        <v>29770.210934999999</v>
      </c>
      <c r="T165" s="395"/>
      <c r="U165" s="395">
        <v>145487.253073</v>
      </c>
      <c r="V165" s="395">
        <v>11932.027656</v>
      </c>
      <c r="W165" s="396">
        <v>0.71372199999999997</v>
      </c>
      <c r="X165" s="395">
        <v>256864.20330200001</v>
      </c>
      <c r="Y165" s="397"/>
      <c r="Z165" s="325">
        <f t="shared" si="15"/>
        <v>2021</v>
      </c>
      <c r="AA165" s="394">
        <v>44440</v>
      </c>
      <c r="AB165" s="398">
        <f>'AUX UF'!C164</f>
        <v>30025.934333333302</v>
      </c>
      <c r="AC165" s="325">
        <f t="shared" si="20"/>
        <v>2.3204606105679577</v>
      </c>
      <c r="AD165" s="325">
        <f t="shared" si="20"/>
        <v>0.99148324926397335</v>
      </c>
      <c r="AE165" s="325">
        <f t="shared" si="20"/>
        <v>0</v>
      </c>
      <c r="AF165" s="325">
        <f t="shared" si="19"/>
        <v>4.8453863735886236</v>
      </c>
      <c r="AG165" s="325">
        <f t="shared" si="19"/>
        <v>0.39739071975367823</v>
      </c>
      <c r="AH165" s="325">
        <f t="shared" si="16"/>
        <v>2.3770184537027421E-5</v>
      </c>
      <c r="AI165" s="325">
        <f t="shared" si="12"/>
        <v>8.5547447233587715</v>
      </c>
      <c r="AJ165" s="447">
        <f t="shared" si="17"/>
        <v>5.3631295679691533</v>
      </c>
      <c r="AK165" s="447">
        <f t="shared" si="18"/>
        <v>3.1916151553896168</v>
      </c>
    </row>
    <row r="166" spans="2:37" s="63" customFormat="1" ht="12.75" x14ac:dyDescent="0.2">
      <c r="B166" s="325">
        <f t="shared" si="14"/>
        <v>2021</v>
      </c>
      <c r="C166" s="394">
        <v>44470</v>
      </c>
      <c r="D166" s="395">
        <v>52041.374003999998</v>
      </c>
      <c r="E166" s="395">
        <v>16827.202730000001</v>
      </c>
      <c r="F166" s="395"/>
      <c r="G166" s="395">
        <v>87252.480542000005</v>
      </c>
      <c r="H166" s="395">
        <v>6276.1081080000004</v>
      </c>
      <c r="I166" s="395">
        <v>0.12167600000000001</v>
      </c>
      <c r="J166" s="395">
        <v>162397.28706</v>
      </c>
      <c r="K166" s="395">
        <v>17842.453495000002</v>
      </c>
      <c r="L166" s="395">
        <v>12997.825364</v>
      </c>
      <c r="M166" s="395"/>
      <c r="N166" s="395">
        <v>60287.600632000001</v>
      </c>
      <c r="O166" s="395">
        <v>5694.8732019999998</v>
      </c>
      <c r="P166" s="395">
        <v>0.86990800000000001</v>
      </c>
      <c r="Q166" s="395">
        <v>96823.622600999995</v>
      </c>
      <c r="R166" s="395">
        <v>69883.827499000006</v>
      </c>
      <c r="S166" s="395">
        <v>29825.028094000001</v>
      </c>
      <c r="T166" s="395"/>
      <c r="U166" s="395">
        <v>147540.08117399999</v>
      </c>
      <c r="V166" s="395">
        <v>11970.981309999999</v>
      </c>
      <c r="W166" s="396">
        <v>0.99158400000000002</v>
      </c>
      <c r="X166" s="395">
        <v>259220.90966100001</v>
      </c>
      <c r="Y166" s="397"/>
      <c r="Z166" s="325">
        <f t="shared" si="15"/>
        <v>2021</v>
      </c>
      <c r="AA166" s="394">
        <v>44470</v>
      </c>
      <c r="AB166" s="398">
        <f>'AUX UF'!C165</f>
        <v>30214.652580645201</v>
      </c>
      <c r="AC166" s="325">
        <f t="shared" si="20"/>
        <v>2.3129118335044483</v>
      </c>
      <c r="AD166" s="325">
        <f t="shared" si="20"/>
        <v>0.9871047834951846</v>
      </c>
      <c r="AE166" s="325">
        <f t="shared" si="20"/>
        <v>0</v>
      </c>
      <c r="AF166" s="325">
        <f t="shared" si="19"/>
        <v>4.8830639630955321</v>
      </c>
      <c r="AG166" s="325">
        <f t="shared" si="19"/>
        <v>0.39619788041740811</v>
      </c>
      <c r="AH166" s="325">
        <f t="shared" si="16"/>
        <v>3.2817984497865298E-5</v>
      </c>
      <c r="AI166" s="325">
        <f t="shared" si="12"/>
        <v>8.5793112784970713</v>
      </c>
      <c r="AJ166" s="447">
        <f t="shared" si="17"/>
        <v>5.3747858469181242</v>
      </c>
      <c r="AK166" s="447">
        <f t="shared" si="18"/>
        <v>3.2045254315789466</v>
      </c>
    </row>
    <row r="167" spans="2:37" s="63" customFormat="1" ht="12.75" x14ac:dyDescent="0.2">
      <c r="B167" s="325">
        <f t="shared" si="14"/>
        <v>2021</v>
      </c>
      <c r="C167" s="394">
        <v>44501</v>
      </c>
      <c r="D167" s="395">
        <v>52180.158679</v>
      </c>
      <c r="E167" s="395">
        <v>16844.779661</v>
      </c>
      <c r="F167" s="395"/>
      <c r="G167" s="395">
        <v>88455.012145999994</v>
      </c>
      <c r="H167" s="395">
        <v>6311.8453490000002</v>
      </c>
      <c r="I167" s="395">
        <v>0.119614</v>
      </c>
      <c r="J167" s="395">
        <v>163791.91544899999</v>
      </c>
      <c r="K167" s="395">
        <v>17910.825825</v>
      </c>
      <c r="L167" s="395">
        <v>13045.928802</v>
      </c>
      <c r="M167" s="395"/>
      <c r="N167" s="395">
        <v>61139.789746000002</v>
      </c>
      <c r="O167" s="395">
        <v>5779.4018100000003</v>
      </c>
      <c r="P167" s="395">
        <v>0.75295599999999996</v>
      </c>
      <c r="Q167" s="395">
        <v>97876.699139000004</v>
      </c>
      <c r="R167" s="395">
        <v>70090.984503999993</v>
      </c>
      <c r="S167" s="395">
        <v>29890.708463000003</v>
      </c>
      <c r="T167" s="395"/>
      <c r="U167" s="395">
        <v>149594.80189199999</v>
      </c>
      <c r="V167" s="395">
        <v>12091.247159</v>
      </c>
      <c r="W167" s="396">
        <v>0.87256999999999996</v>
      </c>
      <c r="X167" s="395">
        <v>261668.614588</v>
      </c>
      <c r="Y167" s="397"/>
      <c r="Z167" s="325">
        <f t="shared" si="15"/>
        <v>2021</v>
      </c>
      <c r="AA167" s="394">
        <v>44501</v>
      </c>
      <c r="AB167" s="398">
        <f>'AUX UF'!C166</f>
        <v>30573.237666666701</v>
      </c>
      <c r="AC167" s="325">
        <f t="shared" si="20"/>
        <v>2.292560090239268</v>
      </c>
      <c r="AD167" s="325">
        <f t="shared" si="20"/>
        <v>0.97767559945373916</v>
      </c>
      <c r="AE167" s="325">
        <f t="shared" si="20"/>
        <v>0</v>
      </c>
      <c r="AF167" s="325">
        <f t="shared" si="19"/>
        <v>4.8929983642229615</v>
      </c>
      <c r="AG167" s="325">
        <f t="shared" si="19"/>
        <v>0.39548468143374982</v>
      </c>
      <c r="AH167" s="325">
        <f t="shared" si="16"/>
        <v>2.8540320443436157E-5</v>
      </c>
      <c r="AI167" s="325">
        <f t="shared" si="12"/>
        <v>8.5587472756701626</v>
      </c>
      <c r="AJ167" s="447">
        <f t="shared" si="17"/>
        <v>5.3573624499566348</v>
      </c>
      <c r="AK167" s="447">
        <f t="shared" si="18"/>
        <v>3.2013848257135264</v>
      </c>
    </row>
    <row r="168" spans="2:37" s="63" customFormat="1" ht="12.75" x14ac:dyDescent="0.2">
      <c r="B168" s="325">
        <f t="shared" si="14"/>
        <v>2021</v>
      </c>
      <c r="C168" s="394">
        <v>44531</v>
      </c>
      <c r="D168" s="395">
        <v>52306.407841</v>
      </c>
      <c r="E168" s="395">
        <v>16850.285977</v>
      </c>
      <c r="F168" s="395"/>
      <c r="G168" s="395">
        <v>89519.543390999999</v>
      </c>
      <c r="H168" s="395">
        <v>6315.167453</v>
      </c>
      <c r="I168" s="395">
        <v>0.11697299999999999</v>
      </c>
      <c r="J168" s="395">
        <v>164991.52163499998</v>
      </c>
      <c r="K168" s="395">
        <v>17961.54333</v>
      </c>
      <c r="L168" s="395">
        <v>13072.95016</v>
      </c>
      <c r="M168" s="395"/>
      <c r="N168" s="395">
        <v>61876.380093</v>
      </c>
      <c r="O168" s="395">
        <v>5805.943338</v>
      </c>
      <c r="P168" s="395">
        <v>0.933473</v>
      </c>
      <c r="Q168" s="395">
        <v>98717.750394000002</v>
      </c>
      <c r="R168" s="395">
        <v>70267.951170999993</v>
      </c>
      <c r="S168" s="395">
        <v>29923.236137</v>
      </c>
      <c r="T168" s="395"/>
      <c r="U168" s="395">
        <v>151395.923484</v>
      </c>
      <c r="V168" s="395">
        <v>12121.110790999999</v>
      </c>
      <c r="W168" s="396">
        <v>1.050446</v>
      </c>
      <c r="X168" s="395">
        <v>263709.27202899999</v>
      </c>
      <c r="Y168" s="397"/>
      <c r="Z168" s="325">
        <f t="shared" si="15"/>
        <v>2021</v>
      </c>
      <c r="AA168" s="394">
        <v>44531</v>
      </c>
      <c r="AB168" s="398">
        <f>'AUX UF'!C167</f>
        <v>30907.416129032299</v>
      </c>
      <c r="AC168" s="325">
        <f t="shared" si="20"/>
        <v>2.2734980781843848</v>
      </c>
      <c r="AD168" s="325">
        <f t="shared" si="20"/>
        <v>0.96815715723619389</v>
      </c>
      <c r="AE168" s="325">
        <f t="shared" si="20"/>
        <v>0</v>
      </c>
      <c r="AF168" s="325">
        <f t="shared" si="19"/>
        <v>4.8983688203488835</v>
      </c>
      <c r="AG168" s="325">
        <f t="shared" si="19"/>
        <v>0.39217483403972619</v>
      </c>
      <c r="AH168" s="325">
        <f t="shared" si="19"/>
        <v>3.3986859193101014E-5</v>
      </c>
      <c r="AI168" s="325">
        <f t="shared" si="12"/>
        <v>8.532232876668381</v>
      </c>
      <c r="AJ168" s="447">
        <f t="shared" si="17"/>
        <v>5.3382502421487867</v>
      </c>
      <c r="AK168" s="447">
        <f t="shared" si="18"/>
        <v>3.1939826345195947</v>
      </c>
    </row>
    <row r="169" spans="2:37" s="63" customFormat="1" ht="12.75" x14ac:dyDescent="0.2">
      <c r="B169" s="325">
        <f t="shared" si="14"/>
        <v>2022</v>
      </c>
      <c r="C169" s="394">
        <v>44562</v>
      </c>
      <c r="D169" s="395">
        <v>54315.078549999998</v>
      </c>
      <c r="E169" s="395">
        <v>18065.530136000001</v>
      </c>
      <c r="F169" s="395"/>
      <c r="G169" s="395">
        <v>95093.530765999996</v>
      </c>
      <c r="H169" s="395">
        <v>6834.4709910000001</v>
      </c>
      <c r="I169" s="395">
        <v>0.18309600000000001</v>
      </c>
      <c r="J169" s="395">
        <v>174308.79353899998</v>
      </c>
      <c r="K169" s="395">
        <v>18646.277905999999</v>
      </c>
      <c r="L169" s="395">
        <v>14036.908034</v>
      </c>
      <c r="M169" s="395"/>
      <c r="N169" s="395">
        <v>66064.824284000002</v>
      </c>
      <c r="O169" s="395">
        <v>6329.4704469999997</v>
      </c>
      <c r="P169" s="395">
        <v>0.851881</v>
      </c>
      <c r="Q169" s="395">
        <v>105078.33255199999</v>
      </c>
      <c r="R169" s="395">
        <v>72961.356455999994</v>
      </c>
      <c r="S169" s="395">
        <v>32102.438170000001</v>
      </c>
      <c r="T169" s="395"/>
      <c r="U169" s="395">
        <v>161158.35505000001</v>
      </c>
      <c r="V169" s="395">
        <v>13163.941438</v>
      </c>
      <c r="W169" s="396">
        <v>1.034977</v>
      </c>
      <c r="X169" s="395">
        <v>279387.12609099998</v>
      </c>
      <c r="Y169" s="397"/>
      <c r="Z169" s="325">
        <f t="shared" si="15"/>
        <v>2022</v>
      </c>
      <c r="AA169" s="394">
        <v>44562</v>
      </c>
      <c r="AB169" s="398">
        <f>'AUX UF'!C168</f>
        <v>31096.086774193602</v>
      </c>
      <c r="AC169" s="325">
        <f t="shared" si="20"/>
        <v>2.346319554155285</v>
      </c>
      <c r="AD169" s="325">
        <f t="shared" si="20"/>
        <v>1.0323626378815474</v>
      </c>
      <c r="AE169" s="325">
        <f t="shared" si="20"/>
        <v>0</v>
      </c>
      <c r="AF169" s="325">
        <f t="shared" si="19"/>
        <v>5.1825927879691944</v>
      </c>
      <c r="AG169" s="325">
        <f t="shared" si="19"/>
        <v>0.42333112631151554</v>
      </c>
      <c r="AH169" s="325">
        <f t="shared" si="19"/>
        <v>3.3283191146061483E-5</v>
      </c>
      <c r="AI169" s="325">
        <f t="shared" si="12"/>
        <v>8.984639389508688</v>
      </c>
      <c r="AJ169" s="447">
        <f t="shared" si="17"/>
        <v>5.6054896812179429</v>
      </c>
      <c r="AK169" s="447">
        <f t="shared" si="18"/>
        <v>3.3791497082907447</v>
      </c>
    </row>
    <row r="170" spans="2:37" s="63" customFormat="1" ht="12.75" x14ac:dyDescent="0.2">
      <c r="B170" s="325">
        <f t="shared" si="14"/>
        <v>2022</v>
      </c>
      <c r="C170" s="394">
        <v>44593</v>
      </c>
      <c r="D170" s="395">
        <v>57205.360538000001</v>
      </c>
      <c r="E170" s="395">
        <v>18992.871736000001</v>
      </c>
      <c r="F170" s="395">
        <v>85078.213942000002</v>
      </c>
      <c r="G170" s="395">
        <v>28447.360478999999</v>
      </c>
      <c r="H170" s="395">
        <v>7221.5158190000002</v>
      </c>
      <c r="I170" s="395"/>
      <c r="J170" s="395">
        <v>196945.322514</v>
      </c>
      <c r="K170" s="395">
        <v>19617.326636999998</v>
      </c>
      <c r="L170" s="395">
        <v>14778.863364000001</v>
      </c>
      <c r="M170" s="395">
        <v>58304.12773</v>
      </c>
      <c r="N170" s="395">
        <v>25632.398160000001</v>
      </c>
      <c r="O170" s="395">
        <v>6730.7351339999996</v>
      </c>
      <c r="P170" s="395"/>
      <c r="Q170" s="395">
        <v>125063.45102499999</v>
      </c>
      <c r="R170" s="395">
        <v>76822.687174999999</v>
      </c>
      <c r="S170" s="395">
        <v>33771.735099999998</v>
      </c>
      <c r="T170" s="395">
        <v>143382.34167200001</v>
      </c>
      <c r="U170" s="395">
        <v>54079.758639</v>
      </c>
      <c r="V170" s="395">
        <v>13952.250953000001</v>
      </c>
      <c r="W170" s="396"/>
      <c r="X170" s="395">
        <v>322008.77353899996</v>
      </c>
      <c r="Y170" s="397"/>
      <c r="Z170" s="325">
        <f t="shared" si="15"/>
        <v>2022</v>
      </c>
      <c r="AA170" s="394">
        <v>44593</v>
      </c>
      <c r="AB170" s="398">
        <f>'AUX UF'!C169</f>
        <v>31365.3003571429</v>
      </c>
      <c r="AC170" s="325">
        <f t="shared" si="20"/>
        <v>2.4492890646750962</v>
      </c>
      <c r="AD170" s="325">
        <f t="shared" si="20"/>
        <v>1.0767228343250688</v>
      </c>
      <c r="AE170" s="325">
        <f t="shared" si="20"/>
        <v>4.5713683605566739</v>
      </c>
      <c r="AF170" s="325">
        <f t="shared" si="19"/>
        <v>1.7241906827997036</v>
      </c>
      <c r="AG170" s="325">
        <f t="shared" si="19"/>
        <v>0.44483077777454216</v>
      </c>
      <c r="AH170" s="325">
        <f t="shared" si="19"/>
        <v>0</v>
      </c>
      <c r="AI170" s="325">
        <f t="shared" si="12"/>
        <v>10.266401720131084</v>
      </c>
      <c r="AJ170" s="447">
        <f t="shared" si="17"/>
        <v>6.2790829442559168</v>
      </c>
      <c r="AK170" s="447">
        <f t="shared" si="18"/>
        <v>3.9873187758751678</v>
      </c>
    </row>
    <row r="171" spans="2:37" s="63" customFormat="1" ht="12.75" x14ac:dyDescent="0.2">
      <c r="B171" s="325">
        <f t="shared" si="14"/>
        <v>2022</v>
      </c>
      <c r="C171" s="394">
        <v>44621</v>
      </c>
      <c r="D171" s="395">
        <v>57713.942276000002</v>
      </c>
      <c r="E171" s="395">
        <v>19009.957752999999</v>
      </c>
      <c r="F171" s="395">
        <v>99076.766957</v>
      </c>
      <c r="G171" s="395">
        <v>28739.803392999998</v>
      </c>
      <c r="H171" s="395">
        <v>7264.3892040000001</v>
      </c>
      <c r="I171" s="395"/>
      <c r="J171" s="395">
        <v>211804.85958300001</v>
      </c>
      <c r="K171" s="395">
        <v>19836.831275</v>
      </c>
      <c r="L171" s="395">
        <v>14808.73149</v>
      </c>
      <c r="M171" s="395">
        <v>66720.836890000006</v>
      </c>
      <c r="N171" s="395">
        <v>26035.716617999999</v>
      </c>
      <c r="O171" s="395">
        <v>6799.291956</v>
      </c>
      <c r="P171" s="395"/>
      <c r="Q171" s="395">
        <v>134201.40822900002</v>
      </c>
      <c r="R171" s="395">
        <v>77550.773551000006</v>
      </c>
      <c r="S171" s="395">
        <v>33818.689243000001</v>
      </c>
      <c r="T171" s="395">
        <v>165797.60384699999</v>
      </c>
      <c r="U171" s="395">
        <v>54775.520011000001</v>
      </c>
      <c r="V171" s="395">
        <v>14063.68116</v>
      </c>
      <c r="W171" s="396"/>
      <c r="X171" s="395">
        <v>346006.26781200001</v>
      </c>
      <c r="Y171" s="397"/>
      <c r="Z171" s="325">
        <f t="shared" si="15"/>
        <v>2022</v>
      </c>
      <c r="AA171" s="394">
        <v>44621</v>
      </c>
      <c r="AB171" s="398">
        <f>'AUX UF'!C170</f>
        <v>31669.700967741901</v>
      </c>
      <c r="AC171" s="325">
        <f t="shared" si="20"/>
        <v>2.4487371582697168</v>
      </c>
      <c r="AD171" s="325">
        <f t="shared" si="20"/>
        <v>1.0678562856481346</v>
      </c>
      <c r="AE171" s="325">
        <f t="shared" si="20"/>
        <v>5.235212167487088</v>
      </c>
      <c r="AF171" s="325">
        <f t="shared" si="19"/>
        <v>1.7295875343689922</v>
      </c>
      <c r="AG171" s="325">
        <f t="shared" si="19"/>
        <v>0.44407369600126551</v>
      </c>
      <c r="AH171" s="325">
        <f t="shared" si="19"/>
        <v>0</v>
      </c>
      <c r="AI171" s="325">
        <f t="shared" ref="AI171:AI204" si="21">+X171/$AB171</f>
        <v>10.925466841775197</v>
      </c>
      <c r="AJ171" s="447">
        <f t="shared" si="17"/>
        <v>6.6879336751155316</v>
      </c>
      <c r="AK171" s="447">
        <f t="shared" si="18"/>
        <v>4.2375331666596656</v>
      </c>
    </row>
    <row r="172" spans="2:37" s="63" customFormat="1" ht="12.75" x14ac:dyDescent="0.2">
      <c r="B172" s="325">
        <f t="shared" si="14"/>
        <v>2022</v>
      </c>
      <c r="C172" s="394">
        <v>44652</v>
      </c>
      <c r="D172" s="395">
        <v>57957.137287999998</v>
      </c>
      <c r="E172" s="395">
        <v>18981.692514999999</v>
      </c>
      <c r="F172" s="395">
        <v>101925.33248300001</v>
      </c>
      <c r="G172" s="395">
        <v>28305.473328</v>
      </c>
      <c r="H172" s="395">
        <v>7269.2763530000002</v>
      </c>
      <c r="I172" s="395"/>
      <c r="J172" s="395">
        <v>214438.91196699999</v>
      </c>
      <c r="K172" s="395">
        <v>19929.902063000001</v>
      </c>
      <c r="L172" s="395">
        <v>14815.37537</v>
      </c>
      <c r="M172" s="395">
        <v>69306.036441999997</v>
      </c>
      <c r="N172" s="395">
        <v>26023.323938000001</v>
      </c>
      <c r="O172" s="395">
        <v>6834.1199200000001</v>
      </c>
      <c r="P172" s="395"/>
      <c r="Q172" s="395">
        <v>136908.75773300001</v>
      </c>
      <c r="R172" s="395">
        <v>77887.039350999999</v>
      </c>
      <c r="S172" s="395">
        <v>33797.067884999997</v>
      </c>
      <c r="T172" s="395">
        <v>171231.36892499999</v>
      </c>
      <c r="U172" s="395">
        <v>54328.797266000001</v>
      </c>
      <c r="V172" s="395">
        <v>14103.396273</v>
      </c>
      <c r="W172" s="396"/>
      <c r="X172" s="395">
        <v>351347.66969999997</v>
      </c>
      <c r="Y172" s="397"/>
      <c r="Z172" s="325">
        <f t="shared" si="15"/>
        <v>2022</v>
      </c>
      <c r="AA172" s="394">
        <v>44652</v>
      </c>
      <c r="AB172" s="398">
        <f>'AUX UF'!C171</f>
        <v>31905.758000000002</v>
      </c>
      <c r="AC172" s="325">
        <f t="shared" si="20"/>
        <v>2.4411593465668484</v>
      </c>
      <c r="AD172" s="325">
        <f t="shared" si="20"/>
        <v>1.0592780113545648</v>
      </c>
      <c r="AE172" s="325">
        <f t="shared" si="20"/>
        <v>5.3667857985069647</v>
      </c>
      <c r="AF172" s="325">
        <f t="shared" si="19"/>
        <v>1.7027897367616214</v>
      </c>
      <c r="AG172" s="325">
        <f t="shared" si="19"/>
        <v>0.44203294819073097</v>
      </c>
      <c r="AH172" s="325">
        <f t="shared" si="19"/>
        <v>0</v>
      </c>
      <c r="AI172" s="325">
        <f t="shared" si="21"/>
        <v>11.012045841380729</v>
      </c>
      <c r="AJ172" s="447">
        <f t="shared" si="17"/>
        <v>6.7210097928718691</v>
      </c>
      <c r="AK172" s="447">
        <f t="shared" si="18"/>
        <v>4.2910360485088619</v>
      </c>
    </row>
    <row r="173" spans="2:37" s="63" customFormat="1" ht="12.75" x14ac:dyDescent="0.2">
      <c r="B173" s="325">
        <f t="shared" si="14"/>
        <v>2022</v>
      </c>
      <c r="C173" s="394">
        <v>44682</v>
      </c>
      <c r="D173" s="395">
        <v>58325.653705999997</v>
      </c>
      <c r="E173" s="395">
        <v>19022.253818000001</v>
      </c>
      <c r="F173" s="395">
        <v>111718.94276799999</v>
      </c>
      <c r="G173" s="395">
        <v>21479.681938999998</v>
      </c>
      <c r="H173" s="395">
        <v>7266.2083060000004</v>
      </c>
      <c r="I173" s="395"/>
      <c r="J173" s="395">
        <v>217812.74053700001</v>
      </c>
      <c r="K173" s="395">
        <v>20145.362847</v>
      </c>
      <c r="L173" s="395">
        <v>14867.960341</v>
      </c>
      <c r="M173" s="395">
        <v>88296.009621000005</v>
      </c>
      <c r="N173" s="395">
        <v>12551.762326</v>
      </c>
      <c r="O173" s="395">
        <v>6858.4351530000004</v>
      </c>
      <c r="P173" s="395"/>
      <c r="Q173" s="395">
        <v>142719.53028800001</v>
      </c>
      <c r="R173" s="395">
        <v>78471.016552999994</v>
      </c>
      <c r="S173" s="395">
        <v>33890.214159000003</v>
      </c>
      <c r="T173" s="395">
        <v>200014.95238900001</v>
      </c>
      <c r="U173" s="395">
        <v>34031.444264999998</v>
      </c>
      <c r="V173" s="395">
        <v>14124.643459000001</v>
      </c>
      <c r="W173" s="396"/>
      <c r="X173" s="395">
        <v>360532.27082500001</v>
      </c>
      <c r="Y173" s="397"/>
      <c r="Z173" s="325">
        <f t="shared" si="15"/>
        <v>2022</v>
      </c>
      <c r="AA173" s="394">
        <v>44682</v>
      </c>
      <c r="AB173" s="398">
        <f>'AUX UF'!C172</f>
        <v>32453.994838709699</v>
      </c>
      <c r="AC173" s="325">
        <f t="shared" si="20"/>
        <v>2.4179154813755996</v>
      </c>
      <c r="AD173" s="325">
        <f t="shared" si="20"/>
        <v>1.0442540071700894</v>
      </c>
      <c r="AE173" s="325">
        <f t="shared" si="20"/>
        <v>6.163030264318369</v>
      </c>
      <c r="AF173" s="325">
        <f t="shared" si="19"/>
        <v>1.0486057089159571</v>
      </c>
      <c r="AG173" s="325">
        <f t="shared" si="19"/>
        <v>0.43522048762245891</v>
      </c>
      <c r="AH173" s="325">
        <f t="shared" si="19"/>
        <v>0</v>
      </c>
      <c r="AI173" s="325">
        <f t="shared" si="21"/>
        <v>11.109025949402474</v>
      </c>
      <c r="AJ173" s="447">
        <f t="shared" si="17"/>
        <v>6.7114307997979505</v>
      </c>
      <c r="AK173" s="447">
        <f t="shared" si="18"/>
        <v>4.3975951496045234</v>
      </c>
    </row>
    <row r="174" spans="2:37" s="63" customFormat="1" ht="12.75" x14ac:dyDescent="0.2">
      <c r="B174" s="325">
        <f t="shared" si="14"/>
        <v>2022</v>
      </c>
      <c r="C174" s="394">
        <v>44713</v>
      </c>
      <c r="D174" s="395">
        <v>58354.483068000001</v>
      </c>
      <c r="E174" s="395">
        <v>19123.392920999999</v>
      </c>
      <c r="F174" s="395">
        <v>113378.153364</v>
      </c>
      <c r="G174" s="395">
        <v>21123.233439</v>
      </c>
      <c r="H174" s="395">
        <v>7276.4243740000002</v>
      </c>
      <c r="I174" s="395"/>
      <c r="J174" s="395">
        <v>219255.68716599999</v>
      </c>
      <c r="K174" s="395">
        <v>20197.021058999999</v>
      </c>
      <c r="L174" s="395">
        <v>14935.618005</v>
      </c>
      <c r="M174" s="395">
        <v>90043.543216000005</v>
      </c>
      <c r="N174" s="395">
        <v>12422.435186999999</v>
      </c>
      <c r="O174" s="395">
        <v>6900.2571630000002</v>
      </c>
      <c r="P174" s="395"/>
      <c r="Q174" s="395">
        <v>144498.87463000001</v>
      </c>
      <c r="R174" s="395">
        <v>78551.504126999993</v>
      </c>
      <c r="S174" s="395">
        <v>34059.010926000003</v>
      </c>
      <c r="T174" s="395">
        <v>203421.69657999999</v>
      </c>
      <c r="U174" s="395">
        <v>33545.668625999999</v>
      </c>
      <c r="V174" s="395">
        <v>14176.681537</v>
      </c>
      <c r="W174" s="396"/>
      <c r="X174" s="395">
        <v>363754.56179599999</v>
      </c>
      <c r="Y174" s="397"/>
      <c r="Z174" s="325">
        <f t="shared" si="15"/>
        <v>2022</v>
      </c>
      <c r="AA174" s="394">
        <v>44713</v>
      </c>
      <c r="AB174" s="398">
        <f>'AUX UF'!C173</f>
        <v>32894.819333333297</v>
      </c>
      <c r="AC174" s="325">
        <f t="shared" si="20"/>
        <v>2.3879597370945711</v>
      </c>
      <c r="AD174" s="325">
        <f t="shared" si="20"/>
        <v>1.0353913356650357</v>
      </c>
      <c r="AE174" s="325">
        <f t="shared" si="20"/>
        <v>6.1840040681988713</v>
      </c>
      <c r="AF174" s="325">
        <f t="shared" si="19"/>
        <v>1.0197857688796357</v>
      </c>
      <c r="AG174" s="325">
        <f t="shared" si="19"/>
        <v>0.43097003796687061</v>
      </c>
      <c r="AH174" s="325">
        <f t="shared" si="19"/>
        <v>0</v>
      </c>
      <c r="AI174" s="325">
        <f t="shared" si="21"/>
        <v>11.058110947804984</v>
      </c>
      <c r="AJ174" s="447">
        <f t="shared" si="17"/>
        <v>6.6653561749105483</v>
      </c>
      <c r="AK174" s="447">
        <f t="shared" si="18"/>
        <v>4.3927547728944356</v>
      </c>
    </row>
    <row r="175" spans="2:37" s="63" customFormat="1" ht="12.75" x14ac:dyDescent="0.2">
      <c r="B175" s="325">
        <f>+YEAR(C175)</f>
        <v>2022</v>
      </c>
      <c r="C175" s="394">
        <v>44743</v>
      </c>
      <c r="D175" s="395">
        <v>61298.891538999997</v>
      </c>
      <c r="E175" s="395">
        <v>20092.998521000001</v>
      </c>
      <c r="F175" s="395">
        <v>120150.12003200001</v>
      </c>
      <c r="G175" s="395">
        <v>23251.915916000002</v>
      </c>
      <c r="H175" s="395">
        <v>7665.2092350000003</v>
      </c>
      <c r="I175" s="395"/>
      <c r="J175" s="395">
        <v>232459.135243</v>
      </c>
      <c r="K175" s="395">
        <v>21261.541044000001</v>
      </c>
      <c r="L175" s="395">
        <v>15706.84563</v>
      </c>
      <c r="M175" s="395">
        <v>96566.128876999996</v>
      </c>
      <c r="N175" s="395">
        <v>13740.966473</v>
      </c>
      <c r="O175" s="395">
        <v>7298.276683</v>
      </c>
      <c r="P175" s="395"/>
      <c r="Q175" s="395">
        <v>154573.758707</v>
      </c>
      <c r="R175" s="395">
        <v>82560.432583000002</v>
      </c>
      <c r="S175" s="395">
        <v>35799.844150999998</v>
      </c>
      <c r="T175" s="395">
        <v>216716.24890899999</v>
      </c>
      <c r="U175" s="395">
        <v>36992.882388999999</v>
      </c>
      <c r="V175" s="395">
        <v>14963.485918</v>
      </c>
      <c r="W175" s="396"/>
      <c r="X175" s="395">
        <v>387032.89395</v>
      </c>
      <c r="Y175" s="397"/>
      <c r="Z175" s="325">
        <f t="shared" si="15"/>
        <v>2022</v>
      </c>
      <c r="AA175" s="394">
        <v>44743</v>
      </c>
      <c r="AB175" s="398">
        <f>'AUX UF'!C174</f>
        <v>33268.629999999997</v>
      </c>
      <c r="AC175" s="325">
        <f t="shared" si="20"/>
        <v>2.4816300696181361</v>
      </c>
      <c r="AD175" s="325">
        <f t="shared" si="20"/>
        <v>1.0760841113986359</v>
      </c>
      <c r="AE175" s="325">
        <f t="shared" si="20"/>
        <v>6.5141320489902954</v>
      </c>
      <c r="AF175" s="325">
        <f t="shared" si="19"/>
        <v>1.1119448678529895</v>
      </c>
      <c r="AG175" s="325">
        <f t="shared" si="19"/>
        <v>0.44977764091878752</v>
      </c>
      <c r="AH175" s="325">
        <f t="shared" si="19"/>
        <v>0</v>
      </c>
      <c r="AI175" s="325">
        <f t="shared" si="21"/>
        <v>11.633568738778845</v>
      </c>
      <c r="AJ175" s="447">
        <f t="shared" si="17"/>
        <v>6.9873371774852169</v>
      </c>
      <c r="AK175" s="447">
        <f t="shared" si="18"/>
        <v>4.6462315612936278</v>
      </c>
    </row>
    <row r="176" spans="2:37" s="63" customFormat="1" ht="12.75" x14ac:dyDescent="0.2">
      <c r="B176" s="325">
        <f>+YEAR(C176)</f>
        <v>2022</v>
      </c>
      <c r="C176" s="394">
        <v>44774</v>
      </c>
      <c r="D176" s="395">
        <v>62094.244614000003</v>
      </c>
      <c r="E176" s="395">
        <v>20138.797901000002</v>
      </c>
      <c r="F176" s="395">
        <v>127163.71483500001</v>
      </c>
      <c r="G176" s="395">
        <v>23289.298222000001</v>
      </c>
      <c r="H176" s="395">
        <v>7678.2099749999998</v>
      </c>
      <c r="I176" s="395"/>
      <c r="J176" s="395">
        <v>240364.26554700005</v>
      </c>
      <c r="K176" s="395">
        <v>21324.099886</v>
      </c>
      <c r="L176" s="395">
        <v>15743.337681000001</v>
      </c>
      <c r="M176" s="395">
        <v>103585.250447</v>
      </c>
      <c r="N176" s="395">
        <v>13736.279612</v>
      </c>
      <c r="O176" s="395">
        <v>7338.6605399999999</v>
      </c>
      <c r="P176" s="395"/>
      <c r="Q176" s="395">
        <v>161727.62816600004</v>
      </c>
      <c r="R176" s="395">
        <v>83418.344500000007</v>
      </c>
      <c r="S176" s="395">
        <v>35882.135582000003</v>
      </c>
      <c r="T176" s="395">
        <v>230748.96528199999</v>
      </c>
      <c r="U176" s="395">
        <v>37025.577834000003</v>
      </c>
      <c r="V176" s="395">
        <v>15016.870515000001</v>
      </c>
      <c r="W176" s="396"/>
      <c r="X176" s="395">
        <v>402091.89371300011</v>
      </c>
      <c r="Y176" s="397"/>
      <c r="Z176" s="325">
        <f t="shared" si="15"/>
        <v>2022</v>
      </c>
      <c r="AA176" s="394">
        <v>44774</v>
      </c>
      <c r="AB176" s="398">
        <f>'AUX UF'!C175</f>
        <v>33616.1093548387</v>
      </c>
      <c r="AC176" s="325">
        <f t="shared" si="20"/>
        <v>2.4814990818678062</v>
      </c>
      <c r="AD176" s="325">
        <f t="shared" si="20"/>
        <v>1.0674089378768377</v>
      </c>
      <c r="AE176" s="325">
        <f t="shared" si="20"/>
        <v>6.8642377036052213</v>
      </c>
      <c r="AF176" s="325">
        <f t="shared" si="19"/>
        <v>1.1014236490955056</v>
      </c>
      <c r="AG176" s="325">
        <f t="shared" si="19"/>
        <v>0.44671649406204927</v>
      </c>
      <c r="AH176" s="325">
        <f t="shared" si="19"/>
        <v>0</v>
      </c>
      <c r="AI176" s="325">
        <f t="shared" si="21"/>
        <v>11.961285866507422</v>
      </c>
      <c r="AJ176" s="447">
        <f t="shared" si="17"/>
        <v>7.1502702174664972</v>
      </c>
      <c r="AK176" s="447">
        <f t="shared" si="18"/>
        <v>4.8110156490409253</v>
      </c>
    </row>
    <row r="177" spans="2:37" s="63" customFormat="1" ht="12.75" x14ac:dyDescent="0.2">
      <c r="B177" s="325">
        <f t="shared" si="14"/>
        <v>2022</v>
      </c>
      <c r="C177" s="394">
        <v>44805</v>
      </c>
      <c r="D177" s="395">
        <v>62013.553252999998</v>
      </c>
      <c r="E177" s="395">
        <v>20148.903199</v>
      </c>
      <c r="F177" s="395">
        <v>130693.091744</v>
      </c>
      <c r="G177" s="395">
        <v>23246.434523</v>
      </c>
      <c r="H177" s="395">
        <v>7668.8754509999999</v>
      </c>
      <c r="I177" s="395"/>
      <c r="J177" s="395">
        <v>243770.85816999999</v>
      </c>
      <c r="K177" s="395">
        <v>21288.334772999999</v>
      </c>
      <c r="L177" s="395">
        <v>15767.795620999999</v>
      </c>
      <c r="M177" s="395">
        <v>106114.124926</v>
      </c>
      <c r="N177" s="395">
        <v>13672.577481</v>
      </c>
      <c r="O177" s="395">
        <v>7364.5737079999999</v>
      </c>
      <c r="P177" s="395"/>
      <c r="Q177" s="395">
        <v>164207.40650899999</v>
      </c>
      <c r="R177" s="395">
        <v>83301.888026000001</v>
      </c>
      <c r="S177" s="395">
        <v>35916.698819999998</v>
      </c>
      <c r="T177" s="395">
        <v>236807.21666999999</v>
      </c>
      <c r="U177" s="395">
        <v>36919.012003999997</v>
      </c>
      <c r="V177" s="395">
        <v>15033.449159</v>
      </c>
      <c r="W177" s="396"/>
      <c r="X177" s="395">
        <v>407978.26467900001</v>
      </c>
      <c r="Y177" s="397"/>
      <c r="Z177" s="325">
        <f t="shared" si="15"/>
        <v>2022</v>
      </c>
      <c r="AA177" s="394">
        <v>44805</v>
      </c>
      <c r="AB177" s="398">
        <f>'AUX UF'!C176</f>
        <v>34059.411333333301</v>
      </c>
      <c r="AC177" s="325">
        <f t="shared" si="20"/>
        <v>2.4457817902587768</v>
      </c>
      <c r="AD177" s="325">
        <f t="shared" si="20"/>
        <v>1.0545308158291333</v>
      </c>
      <c r="AE177" s="325">
        <f t="shared" si="20"/>
        <v>6.9527689234676018</v>
      </c>
      <c r="AF177" s="325">
        <f t="shared" si="19"/>
        <v>1.083959192444059</v>
      </c>
      <c r="AG177" s="325">
        <f t="shared" si="19"/>
        <v>0.44138898972358481</v>
      </c>
      <c r="AH177" s="325">
        <f t="shared" si="19"/>
        <v>0</v>
      </c>
      <c r="AI177" s="325">
        <f t="shared" si="21"/>
        <v>11.978429711723157</v>
      </c>
      <c r="AJ177" s="447">
        <f t="shared" si="17"/>
        <v>7.1572246444384691</v>
      </c>
      <c r="AK177" s="447">
        <f t="shared" si="18"/>
        <v>4.8212050672846862</v>
      </c>
    </row>
    <row r="178" spans="2:37" s="63" customFormat="1" ht="12.75" x14ac:dyDescent="0.2">
      <c r="B178" s="325">
        <f t="shared" si="14"/>
        <v>2022</v>
      </c>
      <c r="C178" s="394">
        <v>44835</v>
      </c>
      <c r="D178" s="395">
        <v>62098.939510999997</v>
      </c>
      <c r="E178" s="395">
        <v>20154.801071000002</v>
      </c>
      <c r="F178" s="395">
        <v>131986.560543</v>
      </c>
      <c r="G178" s="395">
        <v>23196.045528999999</v>
      </c>
      <c r="H178" s="395">
        <v>7659.9764990000003</v>
      </c>
      <c r="I178" s="395"/>
      <c r="J178" s="395">
        <v>245096.323153</v>
      </c>
      <c r="K178" s="395">
        <v>21312.758106000001</v>
      </c>
      <c r="L178" s="395">
        <v>15780.083599</v>
      </c>
      <c r="M178" s="395">
        <v>108014.88267799999</v>
      </c>
      <c r="N178" s="395">
        <v>13590.242086</v>
      </c>
      <c r="O178" s="395">
        <v>7378.4423489999999</v>
      </c>
      <c r="P178" s="395"/>
      <c r="Q178" s="395">
        <v>166076.408818</v>
      </c>
      <c r="R178" s="395">
        <v>83411.697616999998</v>
      </c>
      <c r="S178" s="395">
        <v>35934.884669999999</v>
      </c>
      <c r="T178" s="395">
        <v>240001.44322099999</v>
      </c>
      <c r="U178" s="395">
        <v>36786.287615000001</v>
      </c>
      <c r="V178" s="395">
        <v>15038.418847999999</v>
      </c>
      <c r="W178" s="396"/>
      <c r="X178" s="395">
        <v>411172.73197099997</v>
      </c>
      <c r="Y178" s="397"/>
      <c r="Z178" s="325">
        <f t="shared" si="15"/>
        <v>2022</v>
      </c>
      <c r="AA178" s="394">
        <v>44835</v>
      </c>
      <c r="AB178" s="398">
        <f>'AUX UF'!C177</f>
        <v>34446.456129032304</v>
      </c>
      <c r="AC178" s="325">
        <f t="shared" si="20"/>
        <v>2.4214885068161949</v>
      </c>
      <c r="AD178" s="325">
        <f t="shared" si="20"/>
        <v>1.0432099178908918</v>
      </c>
      <c r="AE178" s="325">
        <f t="shared" si="20"/>
        <v>6.9673769145360938</v>
      </c>
      <c r="AF178" s="325">
        <f t="shared" si="19"/>
        <v>1.0679266243587719</v>
      </c>
      <c r="AG178" s="325">
        <f t="shared" si="19"/>
        <v>0.4365737593344256</v>
      </c>
      <c r="AH178" s="325">
        <f t="shared" si="19"/>
        <v>0</v>
      </c>
      <c r="AI178" s="325">
        <f t="shared" si="21"/>
        <v>11.936575722936377</v>
      </c>
      <c r="AJ178" s="447">
        <f t="shared" si="17"/>
        <v>7.1152841451932964</v>
      </c>
      <c r="AK178" s="447">
        <f t="shared" si="18"/>
        <v>4.8212915777430814</v>
      </c>
    </row>
    <row r="179" spans="2:37" s="63" customFormat="1" ht="12.75" x14ac:dyDescent="0.2">
      <c r="B179" s="325">
        <f t="shared" si="14"/>
        <v>2022</v>
      </c>
      <c r="C179" s="394">
        <v>44866</v>
      </c>
      <c r="D179" s="395">
        <v>63080.932633999997</v>
      </c>
      <c r="E179" s="395">
        <v>20132.730649000001</v>
      </c>
      <c r="F179" s="395">
        <v>135236.23801500001</v>
      </c>
      <c r="G179" s="395">
        <v>23133.193734</v>
      </c>
      <c r="H179" s="395">
        <v>7675.2271700000001</v>
      </c>
      <c r="I179" s="395"/>
      <c r="J179" s="395">
        <v>249258.32220200001</v>
      </c>
      <c r="K179" s="395">
        <v>23564.397059999999</v>
      </c>
      <c r="L179" s="395">
        <v>15794.446196000001</v>
      </c>
      <c r="M179" s="395">
        <v>111537.20104</v>
      </c>
      <c r="N179" s="395">
        <v>13546.987069999999</v>
      </c>
      <c r="O179" s="395">
        <v>7413.8245260000003</v>
      </c>
      <c r="P179" s="395"/>
      <c r="Q179" s="395">
        <v>171856.85589200002</v>
      </c>
      <c r="R179" s="395">
        <v>86645.329694</v>
      </c>
      <c r="S179" s="395">
        <v>35927.176845000002</v>
      </c>
      <c r="T179" s="395">
        <v>246773.439055</v>
      </c>
      <c r="U179" s="395">
        <v>36680.180804000003</v>
      </c>
      <c r="V179" s="395">
        <v>15089.051696</v>
      </c>
      <c r="W179" s="396"/>
      <c r="X179" s="395">
        <v>421115.17809400003</v>
      </c>
      <c r="Y179" s="397"/>
      <c r="Z179" s="325">
        <f t="shared" si="15"/>
        <v>2022</v>
      </c>
      <c r="AA179" s="394">
        <v>44866</v>
      </c>
      <c r="AB179" s="398">
        <f>'AUX UF'!C178</f>
        <v>34722.909666666703</v>
      </c>
      <c r="AC179" s="325">
        <f t="shared" si="20"/>
        <v>2.495336091525123</v>
      </c>
      <c r="AD179" s="325">
        <f t="shared" si="20"/>
        <v>1.0346822080837705</v>
      </c>
      <c r="AE179" s="325">
        <f t="shared" si="20"/>
        <v>7.1069343388551784</v>
      </c>
      <c r="AF179" s="325">
        <f t="shared" si="19"/>
        <v>1.0563682927531917</v>
      </c>
      <c r="AG179" s="325">
        <f t="shared" si="19"/>
        <v>0.43455608532959977</v>
      </c>
      <c r="AH179" s="325">
        <f t="shared" si="19"/>
        <v>0</v>
      </c>
      <c r="AI179" s="325">
        <f t="shared" si="21"/>
        <v>12.127877016546863</v>
      </c>
      <c r="AJ179" s="447">
        <f t="shared" si="17"/>
        <v>7.1784975566515676</v>
      </c>
      <c r="AK179" s="447">
        <f t="shared" si="18"/>
        <v>4.9493794598952965</v>
      </c>
    </row>
    <row r="180" spans="2:37" s="63" customFormat="1" ht="12.75" x14ac:dyDescent="0.2">
      <c r="B180" s="325">
        <f t="shared" si="14"/>
        <v>2022</v>
      </c>
      <c r="C180" s="394">
        <v>44896</v>
      </c>
      <c r="D180" s="395">
        <v>63417.031793000002</v>
      </c>
      <c r="E180" s="395">
        <v>20153.837158999999</v>
      </c>
      <c r="F180" s="395">
        <v>137636.21715899999</v>
      </c>
      <c r="G180" s="395">
        <v>23140.037882000001</v>
      </c>
      <c r="H180" s="395">
        <v>7649.9532909999998</v>
      </c>
      <c r="I180" s="395"/>
      <c r="J180" s="395">
        <v>251997.077284</v>
      </c>
      <c r="K180" s="395">
        <v>24368.202673</v>
      </c>
      <c r="L180" s="395">
        <v>15816.186175000001</v>
      </c>
      <c r="M180" s="395">
        <v>113286.938106</v>
      </c>
      <c r="N180" s="395">
        <v>13498.986731999999</v>
      </c>
      <c r="O180" s="395">
        <v>7421.8058689999998</v>
      </c>
      <c r="P180" s="395"/>
      <c r="Q180" s="395">
        <v>174392.11955499998</v>
      </c>
      <c r="R180" s="395">
        <v>87785.234465999994</v>
      </c>
      <c r="S180" s="395">
        <v>35970.023333999998</v>
      </c>
      <c r="T180" s="395">
        <v>250923.15526500001</v>
      </c>
      <c r="U180" s="395">
        <v>36639.024614000002</v>
      </c>
      <c r="V180" s="395">
        <v>15071.75916</v>
      </c>
      <c r="W180" s="396"/>
      <c r="X180" s="395">
        <v>426389.19683899998</v>
      </c>
      <c r="Y180" s="397"/>
      <c r="Z180" s="325">
        <f t="shared" si="15"/>
        <v>2022</v>
      </c>
      <c r="AA180" s="394">
        <v>44896</v>
      </c>
      <c r="AB180" s="398">
        <f>'AUX UF'!C179</f>
        <v>34948.7422580645</v>
      </c>
      <c r="AC180" s="325">
        <f t="shared" si="20"/>
        <v>2.5118281458539</v>
      </c>
      <c r="AD180" s="325">
        <f t="shared" si="20"/>
        <v>1.0292222555076309</v>
      </c>
      <c r="AE180" s="325">
        <f t="shared" si="20"/>
        <v>7.1797477978509781</v>
      </c>
      <c r="AF180" s="325">
        <f t="shared" si="19"/>
        <v>1.0483646119066121</v>
      </c>
      <c r="AG180" s="325">
        <f t="shared" si="19"/>
        <v>0.43125326367137456</v>
      </c>
      <c r="AH180" s="325">
        <f t="shared" si="19"/>
        <v>0</v>
      </c>
      <c r="AI180" s="325">
        <f t="shared" si="21"/>
        <v>12.200416074790494</v>
      </c>
      <c r="AJ180" s="447">
        <f t="shared" si="17"/>
        <v>7.2104762861917049</v>
      </c>
      <c r="AK180" s="447">
        <f t="shared" si="18"/>
        <v>4.9899397885987904</v>
      </c>
    </row>
    <row r="181" spans="2:37" s="63" customFormat="1" ht="12.75" x14ac:dyDescent="0.2">
      <c r="B181" s="325">
        <f t="shared" si="14"/>
        <v>2023</v>
      </c>
      <c r="C181" s="394">
        <v>44927</v>
      </c>
      <c r="D181" s="395">
        <v>63933.034277999999</v>
      </c>
      <c r="E181" s="395">
        <v>20201.881583999999</v>
      </c>
      <c r="F181" s="395">
        <v>139863.57913</v>
      </c>
      <c r="G181" s="395">
        <v>23112.169975000001</v>
      </c>
      <c r="H181" s="395">
        <v>7667.2768150000002</v>
      </c>
      <c r="I181" s="395"/>
      <c r="J181" s="395">
        <v>254777.94178199998</v>
      </c>
      <c r="K181" s="395">
        <v>24450.261087999999</v>
      </c>
      <c r="L181" s="395">
        <v>15868.522634999999</v>
      </c>
      <c r="M181" s="395">
        <v>115112.771931</v>
      </c>
      <c r="N181" s="395">
        <v>13450.861778</v>
      </c>
      <c r="O181" s="395">
        <v>7473.814687</v>
      </c>
      <c r="P181" s="395"/>
      <c r="Q181" s="395">
        <v>176356.23211899999</v>
      </c>
      <c r="R181" s="395">
        <v>88383.295366000006</v>
      </c>
      <c r="S181" s="395">
        <v>36070.404218999996</v>
      </c>
      <c r="T181" s="395">
        <v>254976.35106099999</v>
      </c>
      <c r="U181" s="395">
        <v>36563.031753000003</v>
      </c>
      <c r="V181" s="395">
        <v>15141.091501999999</v>
      </c>
      <c r="W181" s="396"/>
      <c r="X181" s="395">
        <v>431134.17390099994</v>
      </c>
      <c r="Y181" s="397"/>
      <c r="Z181" s="325">
        <f t="shared" si="15"/>
        <v>2023</v>
      </c>
      <c r="AA181" s="394">
        <v>44927</v>
      </c>
      <c r="AB181" s="398">
        <f>'AUX UF'!C180</f>
        <v>35227.236451612902</v>
      </c>
      <c r="AC181" s="325">
        <f t="shared" si="20"/>
        <v>2.5089477423924724</v>
      </c>
      <c r="AD181" s="325">
        <f t="shared" si="20"/>
        <v>1.0239351096571325</v>
      </c>
      <c r="AE181" s="325">
        <f t="shared" si="20"/>
        <v>7.2380458061542248</v>
      </c>
      <c r="AF181" s="325">
        <f t="shared" si="19"/>
        <v>1.0379193895388845</v>
      </c>
      <c r="AG181" s="325">
        <f t="shared" si="19"/>
        <v>0.42981207233775942</v>
      </c>
      <c r="AH181" s="325">
        <f t="shared" si="19"/>
        <v>0</v>
      </c>
      <c r="AI181" s="325">
        <f t="shared" si="21"/>
        <v>12.238660120080473</v>
      </c>
      <c r="AJ181" s="447">
        <f t="shared" si="17"/>
        <v>7.2324135369504639</v>
      </c>
      <c r="AK181" s="447">
        <f t="shared" si="18"/>
        <v>5.0062465831300091</v>
      </c>
    </row>
    <row r="182" spans="2:37" s="63" customFormat="1" ht="12.75" x14ac:dyDescent="0.2">
      <c r="B182" s="325">
        <f t="shared" si="14"/>
        <v>2023</v>
      </c>
      <c r="C182" s="394">
        <v>44958</v>
      </c>
      <c r="D182" s="395">
        <v>68143.593653000004</v>
      </c>
      <c r="E182" s="395">
        <v>21529.706804000001</v>
      </c>
      <c r="F182" s="395">
        <v>150459.57179700001</v>
      </c>
      <c r="G182" s="395">
        <v>23098.112738</v>
      </c>
      <c r="H182" s="395">
        <v>8237.6733860000004</v>
      </c>
      <c r="I182" s="395"/>
      <c r="J182" s="395">
        <v>271468.65837800002</v>
      </c>
      <c r="K182" s="395">
        <v>26162.330182999998</v>
      </c>
      <c r="L182" s="395">
        <v>16905.382120999999</v>
      </c>
      <c r="M182" s="395">
        <v>124249.454222</v>
      </c>
      <c r="N182" s="395">
        <v>13420.693579999999</v>
      </c>
      <c r="O182" s="395">
        <v>8076.3206639999999</v>
      </c>
      <c r="P182" s="395"/>
      <c r="Q182" s="395">
        <v>188814.18077000001</v>
      </c>
      <c r="R182" s="395">
        <v>94305.923836000002</v>
      </c>
      <c r="S182" s="395">
        <v>38435.088924999996</v>
      </c>
      <c r="T182" s="395">
        <v>274709.02601899998</v>
      </c>
      <c r="U182" s="395">
        <v>36518.806318000003</v>
      </c>
      <c r="V182" s="395">
        <v>16313.994049999999</v>
      </c>
      <c r="W182" s="396"/>
      <c r="X182" s="395">
        <v>460282.839148</v>
      </c>
      <c r="Y182" s="397"/>
      <c r="Z182" s="325">
        <f t="shared" si="15"/>
        <v>2023</v>
      </c>
      <c r="AA182" s="394">
        <v>44958</v>
      </c>
      <c r="AB182" s="398">
        <f>'AUX UF'!C181</f>
        <v>35382.141785714302</v>
      </c>
      <c r="AC182" s="325">
        <f t="shared" si="20"/>
        <v>2.6653537371238629</v>
      </c>
      <c r="AD182" s="325">
        <f t="shared" si="20"/>
        <v>1.0862849727349839</v>
      </c>
      <c r="AE182" s="325">
        <f t="shared" si="20"/>
        <v>7.7640587074328833</v>
      </c>
      <c r="AF182" s="325">
        <f t="shared" si="19"/>
        <v>1.0321253738445149</v>
      </c>
      <c r="AG182" s="325">
        <f t="shared" si="19"/>
        <v>0.46107989021136214</v>
      </c>
      <c r="AH182" s="325">
        <f t="shared" si="19"/>
        <v>0</v>
      </c>
      <c r="AI182" s="325">
        <f t="shared" si="21"/>
        <v>13.008902681347607</v>
      </c>
      <c r="AJ182" s="447">
        <f t="shared" si="17"/>
        <v>7.6724766980501649</v>
      </c>
      <c r="AK182" s="447">
        <f t="shared" si="18"/>
        <v>5.3364259832974437</v>
      </c>
    </row>
    <row r="183" spans="2:37" s="63" customFormat="1" ht="12.75" x14ac:dyDescent="0.2">
      <c r="B183" s="325">
        <f t="shared" si="14"/>
        <v>2023</v>
      </c>
      <c r="C183" s="394">
        <v>44986</v>
      </c>
      <c r="D183" s="395">
        <v>68328.242838999999</v>
      </c>
      <c r="E183" s="395">
        <v>21596.971882999998</v>
      </c>
      <c r="F183" s="395">
        <v>151999.30983899999</v>
      </c>
      <c r="G183" s="395">
        <v>23099.6816</v>
      </c>
      <c r="H183" s="395">
        <v>8260.4619170000005</v>
      </c>
      <c r="I183" s="395"/>
      <c r="J183" s="395">
        <v>273284.66807800002</v>
      </c>
      <c r="K183" s="395">
        <v>26367.972688999998</v>
      </c>
      <c r="L183" s="395">
        <v>16962.285868999999</v>
      </c>
      <c r="M183" s="395">
        <v>125653.634987</v>
      </c>
      <c r="N183" s="395">
        <v>13421.795244000001</v>
      </c>
      <c r="O183" s="395">
        <v>8133.3039520000002</v>
      </c>
      <c r="P183" s="395"/>
      <c r="Q183" s="395">
        <v>190538.99274099999</v>
      </c>
      <c r="R183" s="395">
        <v>94696.215528000001</v>
      </c>
      <c r="S183" s="395">
        <v>38559.257751999998</v>
      </c>
      <c r="T183" s="395">
        <v>277652.94482600002</v>
      </c>
      <c r="U183" s="395">
        <v>36521.476843999997</v>
      </c>
      <c r="V183" s="395">
        <v>16393.765868999999</v>
      </c>
      <c r="W183" s="396"/>
      <c r="X183" s="395">
        <v>463823.66081899998</v>
      </c>
      <c r="Y183" s="397"/>
      <c r="Z183" s="325">
        <f t="shared" si="15"/>
        <v>2023</v>
      </c>
      <c r="AA183" s="394">
        <v>44986</v>
      </c>
      <c r="AB183" s="398">
        <f>'AUX UF'!C182</f>
        <v>35579.618387096802</v>
      </c>
      <c r="AC183" s="325">
        <f t="shared" si="20"/>
        <v>2.6615298258044904</v>
      </c>
      <c r="AD183" s="325">
        <f t="shared" si="20"/>
        <v>1.0837456808132542</v>
      </c>
      <c r="AE183" s="325">
        <f t="shared" si="20"/>
        <v>7.8037077802580592</v>
      </c>
      <c r="AF183" s="325">
        <f t="shared" si="19"/>
        <v>1.0264718538196791</v>
      </c>
      <c r="AG183" s="325">
        <f t="shared" si="19"/>
        <v>0.46076283592027828</v>
      </c>
      <c r="AH183" s="325">
        <f t="shared" si="19"/>
        <v>0</v>
      </c>
      <c r="AI183" s="325">
        <f t="shared" si="21"/>
        <v>13.036217976615761</v>
      </c>
      <c r="AJ183" s="447">
        <f t="shared" si="17"/>
        <v>7.6809330865984951</v>
      </c>
      <c r="AK183" s="447">
        <f t="shared" si="18"/>
        <v>5.3552848900172663</v>
      </c>
    </row>
    <row r="184" spans="2:37" s="63" customFormat="1" ht="12.75" x14ac:dyDescent="0.2">
      <c r="B184" s="325">
        <f t="shared" si="14"/>
        <v>2023</v>
      </c>
      <c r="C184" s="394">
        <v>45017</v>
      </c>
      <c r="D184" s="395">
        <v>69346.479063999999</v>
      </c>
      <c r="E184" s="395">
        <v>21644.219970999999</v>
      </c>
      <c r="F184" s="395">
        <v>155989.111091</v>
      </c>
      <c r="G184" s="395">
        <v>23125.421499</v>
      </c>
      <c r="H184" s="395">
        <v>8285.9178310000007</v>
      </c>
      <c r="I184" s="395"/>
      <c r="J184" s="395">
        <v>278391.14945600001</v>
      </c>
      <c r="K184" s="395">
        <v>27327.054153000001</v>
      </c>
      <c r="L184" s="395">
        <v>17008.177132000001</v>
      </c>
      <c r="M184" s="395">
        <v>129030.402774</v>
      </c>
      <c r="N184" s="395">
        <v>13414.753793</v>
      </c>
      <c r="O184" s="395">
        <v>8181.9942760000004</v>
      </c>
      <c r="P184" s="395"/>
      <c r="Q184" s="395">
        <v>194962.38212800003</v>
      </c>
      <c r="R184" s="395">
        <v>96673.533217000004</v>
      </c>
      <c r="S184" s="395">
        <v>38652.397103000003</v>
      </c>
      <c r="T184" s="395">
        <v>285019.51386499999</v>
      </c>
      <c r="U184" s="395">
        <v>36540.175292</v>
      </c>
      <c r="V184" s="395">
        <v>16467.912107</v>
      </c>
      <c r="W184" s="396"/>
      <c r="X184" s="395">
        <v>473353.53158400004</v>
      </c>
      <c r="Y184" s="397"/>
      <c r="Z184" s="325">
        <f t="shared" si="15"/>
        <v>2023</v>
      </c>
      <c r="AA184" s="394">
        <v>45017</v>
      </c>
      <c r="AB184" s="398">
        <f>'AUX UF'!C183</f>
        <v>35666.653333333299</v>
      </c>
      <c r="AC184" s="325">
        <f t="shared" si="20"/>
        <v>2.7104739071958557</v>
      </c>
      <c r="AD184" s="325">
        <f t="shared" si="20"/>
        <v>1.0837124734345707</v>
      </c>
      <c r="AE184" s="325">
        <f t="shared" si="20"/>
        <v>7.9912043106838615</v>
      </c>
      <c r="AF184" s="325">
        <f t="shared" si="19"/>
        <v>1.0244912790247782</v>
      </c>
      <c r="AG184" s="325">
        <f t="shared" si="19"/>
        <v>0.46171733448311614</v>
      </c>
      <c r="AH184" s="325">
        <f t="shared" si="19"/>
        <v>0</v>
      </c>
      <c r="AI184" s="325">
        <f t="shared" si="21"/>
        <v>13.271599304822184</v>
      </c>
      <c r="AJ184" s="447">
        <f t="shared" si="17"/>
        <v>7.8053622484344931</v>
      </c>
      <c r="AK184" s="447">
        <f t="shared" si="18"/>
        <v>5.4662370563876905</v>
      </c>
    </row>
    <row r="185" spans="2:37" s="63" customFormat="1" ht="12.75" x14ac:dyDescent="0.2">
      <c r="B185" s="325">
        <f t="shared" si="14"/>
        <v>2023</v>
      </c>
      <c r="C185" s="394">
        <v>45047</v>
      </c>
      <c r="D185" s="395">
        <v>69611.829996</v>
      </c>
      <c r="E185" s="395">
        <v>21704.304680000001</v>
      </c>
      <c r="F185" s="395">
        <v>157498.362651</v>
      </c>
      <c r="G185" s="395">
        <v>23038.162154000001</v>
      </c>
      <c r="H185" s="395">
        <v>8305.9383259999995</v>
      </c>
      <c r="I185" s="395"/>
      <c r="J185" s="395">
        <v>280158.59780700004</v>
      </c>
      <c r="K185" s="395">
        <v>27999.735414999999</v>
      </c>
      <c r="L185" s="395">
        <v>17057.485681999999</v>
      </c>
      <c r="M185" s="395">
        <v>130131.87208</v>
      </c>
      <c r="N185" s="395">
        <v>13312.412407</v>
      </c>
      <c r="O185" s="395">
        <v>8205.6727190000001</v>
      </c>
      <c r="P185" s="395"/>
      <c r="Q185" s="395">
        <v>196707.17830299999</v>
      </c>
      <c r="R185" s="395">
        <v>97611.565411000003</v>
      </c>
      <c r="S185" s="395">
        <v>38761.790362</v>
      </c>
      <c r="T185" s="395">
        <v>287630.23473099997</v>
      </c>
      <c r="U185" s="395">
        <v>36350.574561000001</v>
      </c>
      <c r="V185" s="395">
        <v>16511.611045000001</v>
      </c>
      <c r="W185" s="396"/>
      <c r="X185" s="395">
        <v>476865.77611000004</v>
      </c>
      <c r="Y185" s="397"/>
      <c r="Z185" s="325">
        <f t="shared" si="15"/>
        <v>2023</v>
      </c>
      <c r="AA185" s="394">
        <v>45047</v>
      </c>
      <c r="AB185" s="398">
        <f>'AUX UF'!C184</f>
        <v>35969.534193548403</v>
      </c>
      <c r="AC185" s="325">
        <f t="shared" si="20"/>
        <v>2.713728926423181</v>
      </c>
      <c r="AD185" s="325">
        <f t="shared" si="20"/>
        <v>1.0776283660896677</v>
      </c>
      <c r="AE185" s="325">
        <f t="shared" si="20"/>
        <v>7.9964959563638205</v>
      </c>
      <c r="AF185" s="325">
        <f t="shared" si="19"/>
        <v>1.0105934195700523</v>
      </c>
      <c r="AG185" s="325">
        <f t="shared" si="19"/>
        <v>0.45904433891617008</v>
      </c>
      <c r="AH185" s="325">
        <f t="shared" si="19"/>
        <v>0</v>
      </c>
      <c r="AI185" s="325">
        <f t="shared" si="21"/>
        <v>13.257491007362892</v>
      </c>
      <c r="AJ185" s="447">
        <f t="shared" si="17"/>
        <v>7.7887746974841301</v>
      </c>
      <c r="AK185" s="447">
        <f t="shared" si="18"/>
        <v>5.4687163098787623</v>
      </c>
    </row>
    <row r="186" spans="2:37" s="63" customFormat="1" ht="12.75" x14ac:dyDescent="0.2">
      <c r="B186" s="325">
        <f t="shared" si="14"/>
        <v>2023</v>
      </c>
      <c r="C186" s="399">
        <v>45078</v>
      </c>
      <c r="D186" s="400">
        <v>69687.358378000004</v>
      </c>
      <c r="E186" s="400">
        <v>21793.851675000002</v>
      </c>
      <c r="F186" s="400">
        <v>158431.57302099999</v>
      </c>
      <c r="G186" s="400">
        <v>25368.465981000001</v>
      </c>
      <c r="H186" s="400">
        <v>8323.6337089999997</v>
      </c>
      <c r="I186" s="400"/>
      <c r="J186" s="400">
        <v>283604.88276399998</v>
      </c>
      <c r="K186" s="400">
        <v>27909.079519999999</v>
      </c>
      <c r="L186" s="400">
        <v>17129.781890999999</v>
      </c>
      <c r="M186" s="400">
        <v>131205.556644</v>
      </c>
      <c r="N186" s="400">
        <v>14743.399002</v>
      </c>
      <c r="O186" s="400">
        <v>8235.8636330000008</v>
      </c>
      <c r="P186" s="400"/>
      <c r="Q186" s="400">
        <v>199223.68068999998</v>
      </c>
      <c r="R186" s="400">
        <v>97596.437898000004</v>
      </c>
      <c r="S186" s="400">
        <v>38923.633565999997</v>
      </c>
      <c r="T186" s="400">
        <v>289637.12966500001</v>
      </c>
      <c r="U186" s="400">
        <v>40111.864982999999</v>
      </c>
      <c r="V186" s="400">
        <v>16559.497341999999</v>
      </c>
      <c r="W186" s="401"/>
      <c r="X186" s="400">
        <v>482828.56345399993</v>
      </c>
      <c r="Y186" s="402"/>
      <c r="Z186" s="325">
        <f t="shared" si="15"/>
        <v>2023</v>
      </c>
      <c r="AA186" s="399">
        <v>45078</v>
      </c>
      <c r="AB186" s="398">
        <f>'AUX UF'!C185</f>
        <v>36069.313000000002</v>
      </c>
      <c r="AC186" s="325">
        <f t="shared" si="20"/>
        <v>2.7058025168929611</v>
      </c>
      <c r="AD186" s="325">
        <f t="shared" si="20"/>
        <v>1.0791343202461325</v>
      </c>
      <c r="AE186" s="325">
        <f t="shared" si="20"/>
        <v>8.0300151451456809</v>
      </c>
      <c r="AF186" s="325">
        <f t="shared" si="19"/>
        <v>1.112077321322976</v>
      </c>
      <c r="AG186" s="325">
        <f t="shared" si="19"/>
        <v>0.45910209994850742</v>
      </c>
      <c r="AH186" s="325">
        <f t="shared" si="19"/>
        <v>0</v>
      </c>
      <c r="AI186" s="325">
        <f t="shared" si="21"/>
        <v>13.386131403556256</v>
      </c>
      <c r="AJ186" s="447">
        <f t="shared" si="17"/>
        <v>7.8627747294216546</v>
      </c>
      <c r="AK186" s="447">
        <f t="shared" si="18"/>
        <v>5.5233566741346021</v>
      </c>
    </row>
    <row r="187" spans="2:37" s="63" customFormat="1" ht="12.75" x14ac:dyDescent="0.2">
      <c r="B187" s="325">
        <f t="shared" si="14"/>
        <v>2023</v>
      </c>
      <c r="C187" s="399">
        <v>45108</v>
      </c>
      <c r="D187" s="400">
        <v>69854.324103000006</v>
      </c>
      <c r="E187" s="400">
        <v>21866.468298</v>
      </c>
      <c r="F187" s="400">
        <v>159460.33603400001</v>
      </c>
      <c r="G187" s="400">
        <v>25329.299515999999</v>
      </c>
      <c r="H187" s="400">
        <v>8333.0964540000004</v>
      </c>
      <c r="I187" s="400"/>
      <c r="J187" s="400">
        <v>284843.52440500003</v>
      </c>
      <c r="K187" s="400">
        <v>28019.331607</v>
      </c>
      <c r="L187" s="400">
        <v>17204.836740999999</v>
      </c>
      <c r="M187" s="400">
        <v>132250.78410399999</v>
      </c>
      <c r="N187" s="400">
        <v>14707.932742999999</v>
      </c>
      <c r="O187" s="400">
        <v>8270.0748600000006</v>
      </c>
      <c r="P187" s="400"/>
      <c r="Q187" s="400">
        <v>200452.960055</v>
      </c>
      <c r="R187" s="400">
        <v>97873.655710000006</v>
      </c>
      <c r="S187" s="400">
        <v>39071.305038999999</v>
      </c>
      <c r="T187" s="400">
        <v>291711.120138</v>
      </c>
      <c r="U187" s="400">
        <v>40037.232258999997</v>
      </c>
      <c r="V187" s="400">
        <v>16603.171313999999</v>
      </c>
      <c r="W187" s="401"/>
      <c r="X187" s="400">
        <v>485296.48446000007</v>
      </c>
      <c r="Y187" s="402"/>
      <c r="Z187" s="325">
        <f t="shared" si="15"/>
        <v>2023</v>
      </c>
      <c r="AA187" s="399">
        <v>45108</v>
      </c>
      <c r="AB187" s="398">
        <f>'AUX UF'!C186</f>
        <v>36079.886129032297</v>
      </c>
      <c r="AC187" s="325">
        <f t="shared" si="20"/>
        <v>2.7126930323442537</v>
      </c>
      <c r="AD187" s="325">
        <f t="shared" si="20"/>
        <v>1.0829109853415144</v>
      </c>
      <c r="AE187" s="325">
        <f t="shared" si="20"/>
        <v>8.0851452550253384</v>
      </c>
      <c r="AF187" s="325">
        <f t="shared" si="19"/>
        <v>1.1096828885716286</v>
      </c>
      <c r="AG187" s="325">
        <f t="shared" si="19"/>
        <v>0.46017804087912501</v>
      </c>
      <c r="AH187" s="325">
        <f t="shared" si="19"/>
        <v>0</v>
      </c>
      <c r="AI187" s="325">
        <f t="shared" si="21"/>
        <v>13.450610202161862</v>
      </c>
      <c r="AJ187" s="447">
        <f t="shared" si="17"/>
        <v>7.8948010918414688</v>
      </c>
      <c r="AK187" s="447">
        <f t="shared" si="18"/>
        <v>5.5558091103203928</v>
      </c>
    </row>
    <row r="188" spans="2:37" s="63" customFormat="1" ht="12.75" x14ac:dyDescent="0.2">
      <c r="B188" s="325">
        <f t="shared" si="14"/>
        <v>2023</v>
      </c>
      <c r="C188" s="399">
        <v>45139</v>
      </c>
      <c r="D188" s="400">
        <v>70033.843934999997</v>
      </c>
      <c r="E188" s="400">
        <v>21958.709621999998</v>
      </c>
      <c r="F188" s="400">
        <v>160322.39875600001</v>
      </c>
      <c r="G188" s="400">
        <v>25328.349484999999</v>
      </c>
      <c r="H188" s="400">
        <v>8347.0205659999992</v>
      </c>
      <c r="I188" s="400"/>
      <c r="J188" s="400">
        <v>285990.32236400002</v>
      </c>
      <c r="K188" s="400">
        <v>27976.921280999999</v>
      </c>
      <c r="L188" s="400">
        <v>17270.378579</v>
      </c>
      <c r="M188" s="400">
        <v>133185.979659</v>
      </c>
      <c r="N188" s="400">
        <v>14670.726693000001</v>
      </c>
      <c r="O188" s="400">
        <v>8312.0115609999993</v>
      </c>
      <c r="P188" s="400"/>
      <c r="Q188" s="400">
        <v>201416.017773</v>
      </c>
      <c r="R188" s="400">
        <v>98010.765216</v>
      </c>
      <c r="S188" s="400">
        <v>39229.088200999999</v>
      </c>
      <c r="T188" s="400">
        <v>293508.37841499998</v>
      </c>
      <c r="U188" s="400">
        <v>39999.076178000003</v>
      </c>
      <c r="V188" s="400">
        <v>16659.032126999999</v>
      </c>
      <c r="W188" s="401"/>
      <c r="X188" s="400">
        <v>487406.34013700002</v>
      </c>
      <c r="Y188" s="402"/>
      <c r="Z188" s="325">
        <f t="shared" si="15"/>
        <v>2023</v>
      </c>
      <c r="AA188" s="399">
        <v>45139</v>
      </c>
      <c r="AB188" s="398">
        <f>'AUX UF'!C187</f>
        <v>36068.7035483871</v>
      </c>
      <c r="AC188" s="325">
        <f t="shared" si="20"/>
        <v>2.7173354064283464</v>
      </c>
      <c r="AD188" s="325">
        <f t="shared" si="20"/>
        <v>1.0876212433965962</v>
      </c>
      <c r="AE188" s="325">
        <f t="shared" si="20"/>
        <v>8.1374806838080804</v>
      </c>
      <c r="AF188" s="325">
        <f t="shared" si="19"/>
        <v>1.1089690574639093</v>
      </c>
      <c r="AG188" s="325">
        <f t="shared" si="19"/>
        <v>0.46186944603238861</v>
      </c>
      <c r="AH188" s="325">
        <f t="shared" si="19"/>
        <v>0</v>
      </c>
      <c r="AI188" s="325">
        <f t="shared" si="21"/>
        <v>13.513275837129321</v>
      </c>
      <c r="AJ188" s="447">
        <f t="shared" si="17"/>
        <v>7.9290435815176057</v>
      </c>
      <c r="AK188" s="447">
        <f t="shared" si="18"/>
        <v>5.5842322556117159</v>
      </c>
    </row>
    <row r="189" spans="2:37" s="63" customFormat="1" ht="12.75" x14ac:dyDescent="0.2">
      <c r="B189" s="325">
        <f t="shared" si="14"/>
        <v>2023</v>
      </c>
      <c r="C189" s="399">
        <v>45170</v>
      </c>
      <c r="D189" s="400">
        <v>70389.110717999996</v>
      </c>
      <c r="E189" s="400">
        <v>22021.397411999998</v>
      </c>
      <c r="F189" s="400">
        <v>161602.425697</v>
      </c>
      <c r="G189" s="400">
        <v>25293.121417999999</v>
      </c>
      <c r="H189" s="400">
        <v>8349.348344</v>
      </c>
      <c r="I189" s="400"/>
      <c r="J189" s="400">
        <v>287655.40358899999</v>
      </c>
      <c r="K189" s="400">
        <v>28428.701614000001</v>
      </c>
      <c r="L189" s="400">
        <v>17319.291464000002</v>
      </c>
      <c r="M189" s="400">
        <v>134108.51139500001</v>
      </c>
      <c r="N189" s="400">
        <v>14619.374314999999</v>
      </c>
      <c r="O189" s="400">
        <v>8344.374785</v>
      </c>
      <c r="P189" s="400"/>
      <c r="Q189" s="400">
        <v>202820.25357299999</v>
      </c>
      <c r="R189" s="400">
        <v>98817.812332000001</v>
      </c>
      <c r="S189" s="400">
        <v>39340.688876</v>
      </c>
      <c r="T189" s="400">
        <v>295710.93709199998</v>
      </c>
      <c r="U189" s="400">
        <v>39912.495733000003</v>
      </c>
      <c r="V189" s="400">
        <v>16693.723129000002</v>
      </c>
      <c r="W189" s="401"/>
      <c r="X189" s="400">
        <v>490475.65716199996</v>
      </c>
      <c r="Y189" s="402"/>
      <c r="Z189" s="325">
        <f t="shared" si="15"/>
        <v>2023</v>
      </c>
      <c r="AA189" s="399">
        <v>45170</v>
      </c>
      <c r="AB189" s="398">
        <f>'AUX UF'!C188</f>
        <v>36175.904666666698</v>
      </c>
      <c r="AC189" s="325">
        <f t="shared" si="20"/>
        <v>2.7315920152524336</v>
      </c>
      <c r="AD189" s="325">
        <f t="shared" si="20"/>
        <v>1.0874832084641524</v>
      </c>
      <c r="AE189" s="325">
        <f t="shared" si="20"/>
        <v>8.1742513370916399</v>
      </c>
      <c r="AF189" s="325">
        <f t="shared" si="19"/>
        <v>1.1032894989292772</v>
      </c>
      <c r="AG189" s="325">
        <f t="shared" si="19"/>
        <v>0.46145972803776153</v>
      </c>
      <c r="AH189" s="325">
        <f t="shared" si="19"/>
        <v>0</v>
      </c>
      <c r="AI189" s="325">
        <f t="shared" si="21"/>
        <v>13.558075787775264</v>
      </c>
      <c r="AJ189" s="447">
        <f t="shared" si="17"/>
        <v>7.9515745698559472</v>
      </c>
      <c r="AK189" s="447">
        <f t="shared" si="18"/>
        <v>5.6065012179193179</v>
      </c>
    </row>
    <row r="190" spans="2:37" s="63" customFormat="1" ht="12.75" x14ac:dyDescent="0.2">
      <c r="B190" s="325">
        <f t="shared" si="14"/>
        <v>2023</v>
      </c>
      <c r="C190" s="399">
        <v>45200</v>
      </c>
      <c r="D190" s="400">
        <v>70556.341413999995</v>
      </c>
      <c r="E190" s="400">
        <v>22173.725000999999</v>
      </c>
      <c r="F190" s="400">
        <v>162703.78899999999</v>
      </c>
      <c r="G190" s="400">
        <v>25173.157954999999</v>
      </c>
      <c r="H190" s="400">
        <v>8347.9776989999991</v>
      </c>
      <c r="I190" s="400"/>
      <c r="J190" s="400">
        <v>288954.99106899998</v>
      </c>
      <c r="K190" s="400">
        <v>28629.000951000002</v>
      </c>
      <c r="L190" s="400">
        <v>17401.883189</v>
      </c>
      <c r="M190" s="400">
        <v>134969.864562</v>
      </c>
      <c r="N190" s="400">
        <v>14578.037396</v>
      </c>
      <c r="O190" s="400">
        <v>8352.8807070000003</v>
      </c>
      <c r="P190" s="400"/>
      <c r="Q190" s="400">
        <v>203931.66680500002</v>
      </c>
      <c r="R190" s="400">
        <v>99185.342365000004</v>
      </c>
      <c r="S190" s="400">
        <v>39575.608189999999</v>
      </c>
      <c r="T190" s="400">
        <v>297673.65356200002</v>
      </c>
      <c r="U190" s="400">
        <v>39751.195351000002</v>
      </c>
      <c r="V190" s="400">
        <v>16700.858405999999</v>
      </c>
      <c r="W190" s="401"/>
      <c r="X190" s="400">
        <v>492886.65787400003</v>
      </c>
      <c r="Y190" s="402"/>
      <c r="Z190" s="325">
        <f t="shared" si="15"/>
        <v>2023</v>
      </c>
      <c r="AA190" s="399">
        <v>45200</v>
      </c>
      <c r="AB190" s="398">
        <f>'AUX UF'!C189</f>
        <v>36273.5867741935</v>
      </c>
      <c r="AC190" s="325">
        <f t="shared" si="20"/>
        <v>2.7343682052298308</v>
      </c>
      <c r="AD190" s="325">
        <f t="shared" si="20"/>
        <v>1.0910310148362745</v>
      </c>
      <c r="AE190" s="325">
        <f t="shared" si="20"/>
        <v>8.2063473737804475</v>
      </c>
      <c r="AF190" s="325">
        <f t="shared" si="19"/>
        <v>1.0958716489343869</v>
      </c>
      <c r="AG190" s="325">
        <f t="shared" si="19"/>
        <v>0.46041375808696333</v>
      </c>
      <c r="AH190" s="325">
        <f t="shared" si="19"/>
        <v>0</v>
      </c>
      <c r="AI190" s="325">
        <f t="shared" si="21"/>
        <v>13.588032000867903</v>
      </c>
      <c r="AJ190" s="447">
        <f t="shared" si="17"/>
        <v>7.9659889403210125</v>
      </c>
      <c r="AK190" s="447">
        <f t="shared" si="18"/>
        <v>5.6220430605468898</v>
      </c>
    </row>
    <row r="191" spans="2:37" s="63" customFormat="1" ht="12.75" x14ac:dyDescent="0.2">
      <c r="B191" s="325">
        <f t="shared" si="14"/>
        <v>2023</v>
      </c>
      <c r="C191" s="399">
        <v>45231</v>
      </c>
      <c r="D191" s="400">
        <v>70221.851962999994</v>
      </c>
      <c r="E191" s="400">
        <v>22167.675300999999</v>
      </c>
      <c r="F191" s="400">
        <v>164595.308602</v>
      </c>
      <c r="G191" s="400">
        <v>25126.472483000001</v>
      </c>
      <c r="H191" s="400">
        <v>8334.1094080000003</v>
      </c>
      <c r="I191" s="400"/>
      <c r="J191" s="400">
        <v>290445.41775700002</v>
      </c>
      <c r="K191" s="400">
        <v>28559.852591999999</v>
      </c>
      <c r="L191" s="400">
        <v>17450.455924999998</v>
      </c>
      <c r="M191" s="400">
        <v>136353.04151700001</v>
      </c>
      <c r="N191" s="400">
        <v>14517.267044</v>
      </c>
      <c r="O191" s="400">
        <v>8356.2575859999997</v>
      </c>
      <c r="P191" s="400"/>
      <c r="Q191" s="400">
        <v>205236.874664</v>
      </c>
      <c r="R191" s="400">
        <v>98781.704555000004</v>
      </c>
      <c r="S191" s="400">
        <v>39618.131225999998</v>
      </c>
      <c r="T191" s="400">
        <v>300948.35011900001</v>
      </c>
      <c r="U191" s="400">
        <v>39643.739526999998</v>
      </c>
      <c r="V191" s="400">
        <v>16690.366994</v>
      </c>
      <c r="W191" s="401"/>
      <c r="X191" s="400">
        <v>495682.29242100002</v>
      </c>
      <c r="Y191" s="402"/>
      <c r="Z191" s="325">
        <f t="shared" si="15"/>
        <v>2023</v>
      </c>
      <c r="AA191" s="399">
        <v>45231</v>
      </c>
      <c r="AB191" s="398">
        <f>'AUX UF'!C190</f>
        <v>36489.394999999997</v>
      </c>
      <c r="AC191" s="325">
        <f t="shared" si="20"/>
        <v>2.7071346224019339</v>
      </c>
      <c r="AD191" s="325">
        <f t="shared" si="20"/>
        <v>1.0857437133720633</v>
      </c>
      <c r="AE191" s="325">
        <f t="shared" si="20"/>
        <v>8.2475565878524435</v>
      </c>
      <c r="AF191" s="325">
        <f t="shared" si="19"/>
        <v>1.0864455145666296</v>
      </c>
      <c r="AG191" s="325">
        <f t="shared" si="19"/>
        <v>0.45740322617023388</v>
      </c>
      <c r="AH191" s="325">
        <f t="shared" si="19"/>
        <v>0</v>
      </c>
      <c r="AI191" s="325">
        <f t="shared" si="21"/>
        <v>13.584283664363305</v>
      </c>
      <c r="AJ191" s="447">
        <f t="shared" si="17"/>
        <v>7.9597213863644507</v>
      </c>
      <c r="AK191" s="447">
        <f t="shared" si="18"/>
        <v>5.6245622779988551</v>
      </c>
    </row>
    <row r="192" spans="2:37" s="63" customFormat="1" ht="12.75" x14ac:dyDescent="0.2">
      <c r="B192" s="325">
        <f t="shared" si="14"/>
        <v>2023</v>
      </c>
      <c r="C192" s="399">
        <v>45261</v>
      </c>
      <c r="D192" s="400">
        <v>69796.631951999996</v>
      </c>
      <c r="E192" s="400">
        <v>22224.554961000002</v>
      </c>
      <c r="F192" s="400">
        <v>166334.636765</v>
      </c>
      <c r="G192" s="400">
        <v>25039.244064999999</v>
      </c>
      <c r="H192" s="400">
        <v>8339.1316310000002</v>
      </c>
      <c r="I192" s="400"/>
      <c r="J192" s="400">
        <v>291734.19937400002</v>
      </c>
      <c r="K192" s="400">
        <v>26987.353259</v>
      </c>
      <c r="L192" s="400">
        <v>17505.535237</v>
      </c>
      <c r="M192" s="400">
        <v>139006.701096</v>
      </c>
      <c r="N192" s="400">
        <v>14450.349473</v>
      </c>
      <c r="O192" s="400">
        <v>8365.1125229999998</v>
      </c>
      <c r="P192" s="400"/>
      <c r="Q192" s="400">
        <v>206315.051588</v>
      </c>
      <c r="R192" s="400">
        <v>96783.985211000007</v>
      </c>
      <c r="S192" s="400">
        <v>39730.090197999998</v>
      </c>
      <c r="T192" s="400">
        <v>305341.33786099998</v>
      </c>
      <c r="U192" s="400">
        <v>39489.593538000001</v>
      </c>
      <c r="V192" s="400">
        <v>16704.244154</v>
      </c>
      <c r="W192" s="401"/>
      <c r="X192" s="400">
        <v>498049.25096199999</v>
      </c>
      <c r="Y192" s="402"/>
      <c r="Z192" s="325">
        <f t="shared" si="15"/>
        <v>2023</v>
      </c>
      <c r="AA192" s="399">
        <v>45261</v>
      </c>
      <c r="AB192" s="398">
        <f>'AUX UF'!C191</f>
        <v>36669.376451612901</v>
      </c>
      <c r="AC192" s="325">
        <f t="shared" si="20"/>
        <v>2.6393681752050346</v>
      </c>
      <c r="AD192" s="325">
        <f t="shared" si="20"/>
        <v>1.0834678427222744</v>
      </c>
      <c r="AE192" s="325">
        <f t="shared" si="20"/>
        <v>8.3268756496013321</v>
      </c>
      <c r="AF192" s="325">
        <f t="shared" si="19"/>
        <v>1.0769093275995167</v>
      </c>
      <c r="AG192" s="325">
        <f t="shared" si="19"/>
        <v>0.45553662948269918</v>
      </c>
      <c r="AH192" s="325">
        <f t="shared" si="19"/>
        <v>0</v>
      </c>
      <c r="AI192" s="325">
        <f t="shared" si="21"/>
        <v>13.582157624610858</v>
      </c>
      <c r="AJ192" s="447">
        <f t="shared" si="17"/>
        <v>7.955799296422672</v>
      </c>
      <c r="AK192" s="447">
        <f t="shared" si="18"/>
        <v>5.6263583281881857</v>
      </c>
    </row>
    <row r="193" spans="2:37" s="63" customFormat="1" ht="12.75" x14ac:dyDescent="0.2">
      <c r="B193" s="325">
        <f t="shared" si="14"/>
        <v>2024</v>
      </c>
      <c r="C193" s="399">
        <v>45292</v>
      </c>
      <c r="D193" s="400">
        <v>70235.027226000006</v>
      </c>
      <c r="E193" s="400">
        <v>22308.746364999999</v>
      </c>
      <c r="F193" s="400">
        <v>167411.50959100001</v>
      </c>
      <c r="G193" s="400">
        <v>25012.84159</v>
      </c>
      <c r="H193" s="400">
        <v>8331.1091379999998</v>
      </c>
      <c r="I193" s="400"/>
      <c r="J193" s="400">
        <v>293299.23391000001</v>
      </c>
      <c r="K193" s="400">
        <v>27079.949433999998</v>
      </c>
      <c r="L193" s="400">
        <v>17569.786877999999</v>
      </c>
      <c r="M193" s="400">
        <v>140034.68949300001</v>
      </c>
      <c r="N193" s="400">
        <v>14410.114411</v>
      </c>
      <c r="O193" s="400">
        <v>8375.2477550000003</v>
      </c>
      <c r="P193" s="400"/>
      <c r="Q193" s="400">
        <v>207469.78797099998</v>
      </c>
      <c r="R193" s="400">
        <v>97314.97666</v>
      </c>
      <c r="S193" s="400">
        <v>39878.533242999998</v>
      </c>
      <c r="T193" s="400">
        <v>307446.19908400002</v>
      </c>
      <c r="U193" s="400">
        <v>39422.956000999999</v>
      </c>
      <c r="V193" s="400">
        <v>16706.356893</v>
      </c>
      <c r="W193" s="401"/>
      <c r="X193" s="400">
        <v>500769.02188100002</v>
      </c>
      <c r="Y193" s="402"/>
      <c r="Z193" s="325">
        <f t="shared" si="15"/>
        <v>2024</v>
      </c>
      <c r="AA193" s="399">
        <v>45292</v>
      </c>
      <c r="AB193" s="398">
        <f>'AUX UF'!C192</f>
        <v>36805.725806451599</v>
      </c>
      <c r="AC193" s="325">
        <f t="shared" si="20"/>
        <v>2.6440173241453064</v>
      </c>
      <c r="AD193" s="325">
        <f t="shared" si="20"/>
        <v>1.0834872120905104</v>
      </c>
      <c r="AE193" s="325">
        <f t="shared" si="20"/>
        <v>8.3532165810491481</v>
      </c>
      <c r="AF193" s="325">
        <f t="shared" si="19"/>
        <v>1.0711093216395595</v>
      </c>
      <c r="AG193" s="325">
        <f t="shared" si="19"/>
        <v>0.45390646501179926</v>
      </c>
      <c r="AH193" s="325">
        <f t="shared" si="19"/>
        <v>0</v>
      </c>
      <c r="AI193" s="325">
        <f t="shared" si="21"/>
        <v>13.605736903936323</v>
      </c>
      <c r="AJ193" s="447">
        <f t="shared" si="17"/>
        <v>7.9688479844782245</v>
      </c>
      <c r="AK193" s="447">
        <f t="shared" si="18"/>
        <v>5.636888919458098</v>
      </c>
    </row>
    <row r="194" spans="2:37" s="63" customFormat="1" ht="12.75" x14ac:dyDescent="0.2">
      <c r="B194" s="325">
        <f t="shared" si="14"/>
        <v>2024</v>
      </c>
      <c r="C194" s="399">
        <v>45323</v>
      </c>
      <c r="D194" s="400">
        <v>73138.797317000004</v>
      </c>
      <c r="E194" s="400">
        <v>23274.607025000001</v>
      </c>
      <c r="F194" s="400">
        <v>175140.68974199999</v>
      </c>
      <c r="G194" s="400">
        <v>24935.945982000001</v>
      </c>
      <c r="H194" s="400">
        <v>8717.4536819999994</v>
      </c>
      <c r="I194" s="400"/>
      <c r="J194" s="400">
        <v>305207.49374799995</v>
      </c>
      <c r="K194" s="400">
        <v>28240.377500999999</v>
      </c>
      <c r="L194" s="400">
        <v>18321.468118000001</v>
      </c>
      <c r="M194" s="400">
        <v>146616.24827800001</v>
      </c>
      <c r="N194" s="400">
        <v>14370.198681</v>
      </c>
      <c r="O194" s="400">
        <v>8787.6505309999993</v>
      </c>
      <c r="P194" s="400"/>
      <c r="Q194" s="400">
        <v>216335.94310900001</v>
      </c>
      <c r="R194" s="400">
        <v>101379.174818</v>
      </c>
      <c r="S194" s="400">
        <v>41596.075143000002</v>
      </c>
      <c r="T194" s="400">
        <v>321756.93802</v>
      </c>
      <c r="U194" s="400">
        <v>39306.144662999999</v>
      </c>
      <c r="V194" s="400">
        <v>17505.104212999999</v>
      </c>
      <c r="W194" s="401"/>
      <c r="X194" s="400">
        <v>521543.43685699999</v>
      </c>
      <c r="Y194" s="402"/>
      <c r="Z194" s="325">
        <f t="shared" si="15"/>
        <v>2024</v>
      </c>
      <c r="AA194" s="399">
        <v>45323</v>
      </c>
      <c r="AB194" s="398">
        <f>'AUX UF'!C193</f>
        <v>36750.9810344828</v>
      </c>
      <c r="AC194" s="325">
        <f t="shared" si="20"/>
        <v>2.7585433630432261</v>
      </c>
      <c r="AD194" s="325">
        <f t="shared" si="20"/>
        <v>1.1318357761380882</v>
      </c>
      <c r="AE194" s="325">
        <f t="shared" si="20"/>
        <v>8.7550571158386532</v>
      </c>
      <c r="AF194" s="325">
        <f t="shared" si="19"/>
        <v>1.0695264060058625</v>
      </c>
      <c r="AG194" s="325">
        <f t="shared" si="19"/>
        <v>0.47631665115484312</v>
      </c>
      <c r="AH194" s="325">
        <f t="shared" si="19"/>
        <v>0</v>
      </c>
      <c r="AI194" s="325">
        <f t="shared" si="21"/>
        <v>14.191279312180672</v>
      </c>
      <c r="AJ194" s="447">
        <f t="shared" si="17"/>
        <v>8.3047441226570005</v>
      </c>
      <c r="AK194" s="447">
        <f t="shared" si="18"/>
        <v>5.8865351895236699</v>
      </c>
    </row>
    <row r="195" spans="2:37" s="63" customFormat="1" ht="12.75" x14ac:dyDescent="0.2">
      <c r="B195" s="325">
        <f t="shared" si="14"/>
        <v>2024</v>
      </c>
      <c r="C195" s="399">
        <v>45352</v>
      </c>
      <c r="D195" s="400">
        <v>73223.340953000006</v>
      </c>
      <c r="E195" s="400">
        <v>23392.248339999998</v>
      </c>
      <c r="F195" s="400">
        <v>176396.75754699999</v>
      </c>
      <c r="G195" s="400">
        <v>24899.324678000001</v>
      </c>
      <c r="H195" s="400">
        <v>8714.1504559999994</v>
      </c>
      <c r="I195" s="400"/>
      <c r="J195" s="400">
        <v>306625.82197400002</v>
      </c>
      <c r="K195" s="400">
        <v>28292.185571999999</v>
      </c>
      <c r="L195" s="400">
        <v>18399.503589</v>
      </c>
      <c r="M195" s="400">
        <v>147843.978175</v>
      </c>
      <c r="N195" s="400">
        <v>14319.640099</v>
      </c>
      <c r="O195" s="400">
        <v>8801.7979070000001</v>
      </c>
      <c r="P195" s="400"/>
      <c r="Q195" s="400">
        <v>217657.10534200002</v>
      </c>
      <c r="R195" s="400">
        <v>101515.52652499999</v>
      </c>
      <c r="S195" s="400">
        <v>41791.751928999998</v>
      </c>
      <c r="T195" s="400">
        <v>324240.73572200001</v>
      </c>
      <c r="U195" s="400">
        <v>39218.964777000001</v>
      </c>
      <c r="V195" s="400">
        <v>17515.948363</v>
      </c>
      <c r="W195" s="401"/>
      <c r="X195" s="400">
        <v>524282.92731600004</v>
      </c>
      <c r="Y195" s="402"/>
      <c r="Z195" s="325">
        <f t="shared" si="15"/>
        <v>2024</v>
      </c>
      <c r="AA195" s="399">
        <v>45352</v>
      </c>
      <c r="AB195" s="398">
        <f>'AUX UF'!C194</f>
        <v>36984.323548387103</v>
      </c>
      <c r="AC195" s="325">
        <f t="shared" si="20"/>
        <v>2.7448258284942222</v>
      </c>
      <c r="AD195" s="325">
        <f t="shared" si="20"/>
        <v>1.1299855700841268</v>
      </c>
      <c r="AE195" s="325">
        <f t="shared" si="20"/>
        <v>8.7669775897831776</v>
      </c>
      <c r="AF195" s="325">
        <f t="shared" si="19"/>
        <v>1.0604213086576881</v>
      </c>
      <c r="AG195" s="325">
        <f t="shared" si="19"/>
        <v>0.47360467037023513</v>
      </c>
      <c r="AH195" s="325">
        <f t="shared" si="19"/>
        <v>0</v>
      </c>
      <c r="AI195" s="325">
        <f t="shared" si="21"/>
        <v>14.175814967389451</v>
      </c>
      <c r="AJ195" s="447">
        <f t="shared" si="17"/>
        <v>8.290697045542478</v>
      </c>
      <c r="AK195" s="447">
        <f t="shared" si="18"/>
        <v>5.885117921846974</v>
      </c>
    </row>
    <row r="196" spans="2:37" s="63" customFormat="1" ht="12.75" x14ac:dyDescent="0.2">
      <c r="B196" s="325">
        <f t="shared" si="14"/>
        <v>2024</v>
      </c>
      <c r="C196" s="399">
        <v>45383</v>
      </c>
      <c r="D196" s="400">
        <v>73383.200339999996</v>
      </c>
      <c r="E196" s="400">
        <v>23449.776886</v>
      </c>
      <c r="F196" s="400">
        <v>177556.89622299999</v>
      </c>
      <c r="G196" s="400">
        <v>24789.446219000001</v>
      </c>
      <c r="H196" s="400">
        <v>8708.5026770000004</v>
      </c>
      <c r="I196" s="400"/>
      <c r="J196" s="400">
        <v>307887.82234499994</v>
      </c>
      <c r="K196" s="400">
        <v>28331.105616000001</v>
      </c>
      <c r="L196" s="400">
        <v>18464.143147999999</v>
      </c>
      <c r="M196" s="400">
        <v>148891.08322599999</v>
      </c>
      <c r="N196" s="400">
        <v>14213.086010000001</v>
      </c>
      <c r="O196" s="400">
        <v>8817.5353400000004</v>
      </c>
      <c r="P196" s="400"/>
      <c r="Q196" s="400">
        <v>218716.95333999998</v>
      </c>
      <c r="R196" s="400">
        <v>101714.305956</v>
      </c>
      <c r="S196" s="400">
        <v>41913.920034000002</v>
      </c>
      <c r="T196" s="400">
        <v>326447.97944899998</v>
      </c>
      <c r="U196" s="400">
        <v>39002.532228999997</v>
      </c>
      <c r="V196" s="400">
        <v>17526.038016999999</v>
      </c>
      <c r="W196" s="401"/>
      <c r="X196" s="400">
        <v>526604.77568499988</v>
      </c>
      <c r="Y196" s="402"/>
      <c r="Z196" s="325">
        <f t="shared" si="15"/>
        <v>2024</v>
      </c>
      <c r="AA196" s="399">
        <v>45383</v>
      </c>
      <c r="AB196" s="398">
        <f>'AUX UF'!C195</f>
        <v>37187.508666666698</v>
      </c>
      <c r="AC196" s="325">
        <f t="shared" si="20"/>
        <v>2.7351739765017489</v>
      </c>
      <c r="AD196" s="325">
        <f t="shared" si="20"/>
        <v>1.1270967466441186</v>
      </c>
      <c r="AE196" s="325">
        <f t="shared" si="20"/>
        <v>8.7784310149718117</v>
      </c>
      <c r="AF196" s="325">
        <f t="shared" si="19"/>
        <v>1.0488073449233293</v>
      </c>
      <c r="AG196" s="325">
        <f t="shared" si="19"/>
        <v>0.47128830742860695</v>
      </c>
      <c r="AH196" s="325">
        <f t="shared" si="19"/>
        <v>0</v>
      </c>
      <c r="AI196" s="325">
        <f t="shared" si="21"/>
        <v>14.160797390469613</v>
      </c>
      <c r="AJ196" s="447">
        <f t="shared" si="17"/>
        <v>8.2793344696677007</v>
      </c>
      <c r="AK196" s="447">
        <f t="shared" si="18"/>
        <v>5.8814629208019129</v>
      </c>
    </row>
    <row r="197" spans="2:37" s="63" customFormat="1" ht="12.75" x14ac:dyDescent="0.2">
      <c r="B197" s="325">
        <f t="shared" si="14"/>
        <v>2024</v>
      </c>
      <c r="C197" s="399">
        <v>45413</v>
      </c>
      <c r="D197" s="400">
        <v>73475.158739000006</v>
      </c>
      <c r="E197" s="400">
        <v>23527.815675999998</v>
      </c>
      <c r="F197" s="400">
        <v>178669.33571300001</v>
      </c>
      <c r="G197" s="400">
        <v>24729.034017999998</v>
      </c>
      <c r="H197" s="400">
        <v>8708.3114229999992</v>
      </c>
      <c r="I197" s="400"/>
      <c r="J197" s="400">
        <v>309109.655569</v>
      </c>
      <c r="K197" s="400">
        <v>28382.676640000001</v>
      </c>
      <c r="L197" s="400">
        <v>18524.452756999999</v>
      </c>
      <c r="M197" s="400">
        <v>149902.612934</v>
      </c>
      <c r="N197" s="400">
        <v>14160.985481</v>
      </c>
      <c r="O197" s="400">
        <v>8824.7493479999994</v>
      </c>
      <c r="P197" s="400"/>
      <c r="Q197" s="400">
        <v>219795.47716000001</v>
      </c>
      <c r="R197" s="400">
        <v>101857.835379</v>
      </c>
      <c r="S197" s="400">
        <v>42052.268432999997</v>
      </c>
      <c r="T197" s="400">
        <v>328571.94864700001</v>
      </c>
      <c r="U197" s="400">
        <v>38890.019499000002</v>
      </c>
      <c r="V197" s="400">
        <v>17533.060771</v>
      </c>
      <c r="W197" s="401"/>
      <c r="X197" s="400">
        <v>528905.13272899995</v>
      </c>
      <c r="Y197" s="402"/>
      <c r="Z197" s="325">
        <f t="shared" si="15"/>
        <v>2024</v>
      </c>
      <c r="AA197" s="399">
        <v>45413</v>
      </c>
      <c r="AB197" s="398">
        <f>'AUX UF'!C196</f>
        <v>37349.9132258065</v>
      </c>
      <c r="AC197" s="325">
        <f t="shared" si="20"/>
        <v>2.7271237489414695</v>
      </c>
      <c r="AD197" s="325">
        <f t="shared" si="20"/>
        <v>1.1259000303096944</v>
      </c>
      <c r="AE197" s="325">
        <f t="shared" si="20"/>
        <v>8.7971274969382502</v>
      </c>
      <c r="AF197" s="325">
        <f t="shared" si="19"/>
        <v>1.0412345341710025</v>
      </c>
      <c r="AG197" s="325">
        <f t="shared" si="19"/>
        <v>0.46942708179803028</v>
      </c>
      <c r="AH197" s="325">
        <f t="shared" si="19"/>
        <v>0</v>
      </c>
      <c r="AI197" s="325">
        <f t="shared" si="21"/>
        <v>14.160812892158447</v>
      </c>
      <c r="AJ197" s="447">
        <f t="shared" si="17"/>
        <v>8.2760474890588007</v>
      </c>
      <c r="AK197" s="447">
        <f t="shared" si="18"/>
        <v>5.8847654030996468</v>
      </c>
    </row>
    <row r="198" spans="2:37" s="63" customFormat="1" ht="12.75" x14ac:dyDescent="0.2">
      <c r="B198" s="325">
        <f t="shared" si="14"/>
        <v>2024</v>
      </c>
      <c r="C198" s="399">
        <v>45444</v>
      </c>
      <c r="D198" s="400">
        <v>73399.640117000003</v>
      </c>
      <c r="E198" s="400">
        <v>23624.413186000002</v>
      </c>
      <c r="F198" s="400">
        <v>179512.087963</v>
      </c>
      <c r="G198" s="400">
        <v>25703.435707000001</v>
      </c>
      <c r="H198" s="400">
        <v>8715.3618509999997</v>
      </c>
      <c r="I198" s="400"/>
      <c r="J198" s="400">
        <v>310954.93882400001</v>
      </c>
      <c r="K198" s="400">
        <v>28430.171538999999</v>
      </c>
      <c r="L198" s="400">
        <v>18580.684913000001</v>
      </c>
      <c r="M198" s="400">
        <v>150532.382686</v>
      </c>
      <c r="N198" s="400">
        <v>14719.912700999999</v>
      </c>
      <c r="O198" s="400">
        <v>8832.5900390000006</v>
      </c>
      <c r="P198" s="400"/>
      <c r="Q198" s="400">
        <v>221095.741878</v>
      </c>
      <c r="R198" s="400">
        <v>101829.81165600001</v>
      </c>
      <c r="S198" s="400">
        <v>42205.098099000003</v>
      </c>
      <c r="T198" s="400">
        <v>330044.47064900002</v>
      </c>
      <c r="U198" s="400">
        <v>40423.348407999998</v>
      </c>
      <c r="V198" s="400">
        <v>17547.95189</v>
      </c>
      <c r="W198" s="401"/>
      <c r="X198" s="400">
        <v>532050.68070200004</v>
      </c>
      <c r="Y198" s="402"/>
      <c r="Z198" s="325">
        <f t="shared" si="15"/>
        <v>2024</v>
      </c>
      <c r="AA198" s="399">
        <v>45444</v>
      </c>
      <c r="AB198" s="398">
        <f>'AUX UF'!C197</f>
        <v>37514.773000000001</v>
      </c>
      <c r="AC198" s="325">
        <f t="shared" si="20"/>
        <v>2.7143923183541587</v>
      </c>
      <c r="AD198" s="325">
        <f t="shared" si="20"/>
        <v>1.1250260823649394</v>
      </c>
      <c r="AE198" s="325">
        <f t="shared" si="20"/>
        <v>8.7977200514847844</v>
      </c>
      <c r="AF198" s="325">
        <f t="shared" si="19"/>
        <v>1.0775314676167704</v>
      </c>
      <c r="AG198" s="325">
        <f t="shared" si="19"/>
        <v>0.4677611108029362</v>
      </c>
      <c r="AH198" s="325">
        <f t="shared" si="19"/>
        <v>0</v>
      </c>
      <c r="AI198" s="325">
        <f t="shared" si="21"/>
        <v>14.18243103062359</v>
      </c>
      <c r="AJ198" s="447">
        <f t="shared" si="17"/>
        <v>8.2888663307119046</v>
      </c>
      <c r="AK198" s="447">
        <f t="shared" si="18"/>
        <v>5.8935646999116855</v>
      </c>
    </row>
    <row r="199" spans="2:37" s="63" customFormat="1" ht="12.75" x14ac:dyDescent="0.2">
      <c r="B199" s="325">
        <f t="shared" si="14"/>
        <v>2024</v>
      </c>
      <c r="C199" s="399">
        <v>45474</v>
      </c>
      <c r="D199" s="400">
        <v>74185.358548000004</v>
      </c>
      <c r="E199" s="400">
        <v>23718.110044000001</v>
      </c>
      <c r="F199" s="400">
        <v>180633.22769699999</v>
      </c>
      <c r="G199" s="400">
        <v>25674.329231</v>
      </c>
      <c r="H199" s="400">
        <v>8711.2758109999995</v>
      </c>
      <c r="I199" s="400"/>
      <c r="J199" s="400">
        <v>312922.30133099994</v>
      </c>
      <c r="K199" s="400">
        <v>28641.339646</v>
      </c>
      <c r="L199" s="400">
        <v>18637.259056999999</v>
      </c>
      <c r="M199" s="400">
        <v>152081.510736</v>
      </c>
      <c r="N199" s="400">
        <v>14665.674628000001</v>
      </c>
      <c r="O199" s="400">
        <v>8856.8317150000003</v>
      </c>
      <c r="P199" s="400"/>
      <c r="Q199" s="400">
        <v>222882.61578200001</v>
      </c>
      <c r="R199" s="400">
        <v>102826.698194</v>
      </c>
      <c r="S199" s="400">
        <v>42355.369100999997</v>
      </c>
      <c r="T199" s="400">
        <v>332714.73843299999</v>
      </c>
      <c r="U199" s="400">
        <v>40340.003858999997</v>
      </c>
      <c r="V199" s="400">
        <v>17568.107526</v>
      </c>
      <c r="W199" s="401"/>
      <c r="X199" s="400">
        <v>535804.91711299994</v>
      </c>
      <c r="Y199" s="402"/>
      <c r="Z199" s="325">
        <f t="shared" si="15"/>
        <v>2024</v>
      </c>
      <c r="AA199" s="399">
        <v>45474</v>
      </c>
      <c r="AB199" s="398">
        <f>'AUX UF'!C198</f>
        <v>37591.378064516102</v>
      </c>
      <c r="AC199" s="325">
        <f t="shared" si="20"/>
        <v>2.7353798527291007</v>
      </c>
      <c r="AD199" s="325">
        <f t="shared" si="20"/>
        <v>1.1267309495360267</v>
      </c>
      <c r="AE199" s="325">
        <f t="shared" si="20"/>
        <v>8.8508257894131788</v>
      </c>
      <c r="AF199" s="325">
        <f t="shared" si="19"/>
        <v>1.073118516425936</v>
      </c>
      <c r="AG199" s="325">
        <f t="shared" si="19"/>
        <v>0.46734406745740426</v>
      </c>
      <c r="AH199" s="325">
        <f t="shared" si="19"/>
        <v>0</v>
      </c>
      <c r="AI199" s="325">
        <f t="shared" si="21"/>
        <v>14.253399175561645</v>
      </c>
      <c r="AJ199" s="447">
        <f t="shared" si="17"/>
        <v>8.3243104520921758</v>
      </c>
      <c r="AK199" s="447">
        <f t="shared" si="18"/>
        <v>5.9290887234694702</v>
      </c>
    </row>
    <row r="200" spans="2:37" s="63" customFormat="1" ht="12.75" x14ac:dyDescent="0.2">
      <c r="B200" s="325">
        <f t="shared" ref="B200:B216" si="22">+YEAR(C200)</f>
        <v>2024</v>
      </c>
      <c r="C200" s="399">
        <v>45505</v>
      </c>
      <c r="D200" s="400">
        <v>74407.143353000007</v>
      </c>
      <c r="E200" s="400">
        <v>23784.904354999999</v>
      </c>
      <c r="F200" s="400">
        <v>181274.17524800001</v>
      </c>
      <c r="G200" s="400">
        <v>25611.172623999999</v>
      </c>
      <c r="H200" s="400">
        <v>8722.7025369999992</v>
      </c>
      <c r="I200" s="400"/>
      <c r="J200" s="400">
        <v>313800.09811700002</v>
      </c>
      <c r="K200" s="400">
        <v>28694.628833999999</v>
      </c>
      <c r="L200" s="400">
        <v>18706.699084</v>
      </c>
      <c r="M200" s="400">
        <v>152658.60363999999</v>
      </c>
      <c r="N200" s="400">
        <v>14591.401143999999</v>
      </c>
      <c r="O200" s="400">
        <v>8871.6555879999996</v>
      </c>
      <c r="P200" s="400"/>
      <c r="Q200" s="400">
        <v>223522.98828999998</v>
      </c>
      <c r="R200" s="400">
        <v>103101.772187</v>
      </c>
      <c r="S200" s="400">
        <v>42491.603438999999</v>
      </c>
      <c r="T200" s="400">
        <v>333932.778888</v>
      </c>
      <c r="U200" s="400">
        <v>40202.573768000002</v>
      </c>
      <c r="V200" s="400">
        <v>17594.358124999999</v>
      </c>
      <c r="W200" s="401"/>
      <c r="X200" s="400">
        <v>537323.08640699997</v>
      </c>
      <c r="Y200" s="402"/>
      <c r="Z200" s="325">
        <f t="shared" ref="Z200:Z216" si="23">+YEAR(AA200)</f>
        <v>2024</v>
      </c>
      <c r="AA200" s="399">
        <v>45505</v>
      </c>
      <c r="AB200" s="398">
        <f>'AUX UF'!C199</f>
        <v>37638.547741935501</v>
      </c>
      <c r="AC200" s="325">
        <f t="shared" si="20"/>
        <v>2.7392601036019184</v>
      </c>
      <c r="AD200" s="325">
        <f t="shared" si="20"/>
        <v>1.1289384417894901</v>
      </c>
      <c r="AE200" s="325">
        <f t="shared" si="20"/>
        <v>8.8720952035018144</v>
      </c>
      <c r="AF200" s="325">
        <f t="shared" si="19"/>
        <v>1.0681223421170354</v>
      </c>
      <c r="AG200" s="325">
        <f t="shared" si="19"/>
        <v>0.46745581805211378</v>
      </c>
      <c r="AH200" s="325">
        <f t="shared" si="19"/>
        <v>0</v>
      </c>
      <c r="AI200" s="325">
        <f t="shared" si="21"/>
        <v>14.275871909062371</v>
      </c>
      <c r="AJ200" s="447">
        <f t="shared" ref="AJ200:AJ204" si="24">J200/$AB200</f>
        <v>8.3371999437527542</v>
      </c>
      <c r="AK200" s="447">
        <f t="shared" ref="AK200:AK204" si="25">Q200/$AB200</f>
        <v>5.9386719653096174</v>
      </c>
    </row>
    <row r="201" spans="2:37" s="63" customFormat="1" ht="12.75" x14ac:dyDescent="0.2">
      <c r="B201" s="325">
        <f t="shared" si="22"/>
        <v>2024</v>
      </c>
      <c r="C201" s="403" t="s">
        <v>599</v>
      </c>
      <c r="D201" s="400">
        <v>89641.813506000006</v>
      </c>
      <c r="E201" s="400">
        <v>23832.988879</v>
      </c>
      <c r="F201" s="400">
        <v>166908.847702</v>
      </c>
      <c r="G201" s="400">
        <v>25543.780151999999</v>
      </c>
      <c r="H201" s="400">
        <v>8709.9113300000008</v>
      </c>
      <c r="I201" s="400"/>
      <c r="J201" s="400">
        <v>314637.34156899998</v>
      </c>
      <c r="K201" s="400">
        <v>35771.659812999998</v>
      </c>
      <c r="L201" s="400">
        <v>18759.924375999999</v>
      </c>
      <c r="M201" s="400">
        <v>146387.691119</v>
      </c>
      <c r="N201" s="400">
        <v>14498.055632</v>
      </c>
      <c r="O201" s="400">
        <v>8871.5785739999992</v>
      </c>
      <c r="P201" s="400"/>
      <c r="Q201" s="400">
        <v>224288.909514</v>
      </c>
      <c r="R201" s="400">
        <v>125413.473319</v>
      </c>
      <c r="S201" s="400">
        <v>42592.913254999999</v>
      </c>
      <c r="T201" s="400">
        <v>313296.53882100002</v>
      </c>
      <c r="U201" s="400">
        <v>40041.835784000003</v>
      </c>
      <c r="V201" s="400">
        <v>17581.489903999998</v>
      </c>
      <c r="W201" s="401"/>
      <c r="X201" s="400">
        <v>538926.25108299998</v>
      </c>
      <c r="Y201" s="402"/>
      <c r="Z201" s="325">
        <f t="shared" si="23"/>
        <v>2024</v>
      </c>
      <c r="AA201" s="403" t="s">
        <v>599</v>
      </c>
      <c r="AB201" s="398">
        <f>'AUX UF'!C200</f>
        <v>37849.906666666699</v>
      </c>
      <c r="AC201" s="325">
        <f t="shared" si="20"/>
        <v>3.3134420759205718</v>
      </c>
      <c r="AD201" s="325">
        <f t="shared" si="20"/>
        <v>1.1253109189965409</v>
      </c>
      <c r="AE201" s="325">
        <f t="shared" si="20"/>
        <v>8.2773397984865067</v>
      </c>
      <c r="AF201" s="325">
        <f t="shared" si="19"/>
        <v>1.0579110838142085</v>
      </c>
      <c r="AG201" s="325">
        <f t="shared" si="19"/>
        <v>0.46450550218882047</v>
      </c>
      <c r="AH201" s="325">
        <f t="shared" si="19"/>
        <v>0</v>
      </c>
      <c r="AI201" s="325">
        <f t="shared" si="21"/>
        <v>14.238509379406647</v>
      </c>
      <c r="AJ201" s="447">
        <f t="shared" si="24"/>
        <v>8.3127640007126313</v>
      </c>
      <c r="AK201" s="447">
        <f t="shared" si="25"/>
        <v>5.9257453786940157</v>
      </c>
    </row>
    <row r="202" spans="2:37" s="63" customFormat="1" ht="12.75" x14ac:dyDescent="0.2">
      <c r="B202" s="325">
        <f t="shared" si="22"/>
        <v>2024</v>
      </c>
      <c r="C202" s="403">
        <v>45566</v>
      </c>
      <c r="D202" s="400">
        <v>89972.031814999995</v>
      </c>
      <c r="E202" s="400">
        <v>23869.464223999999</v>
      </c>
      <c r="F202" s="400">
        <v>167708.49219799999</v>
      </c>
      <c r="G202" s="400">
        <v>25499.980340999999</v>
      </c>
      <c r="H202" s="400">
        <v>8716.2480180000002</v>
      </c>
      <c r="I202" s="400"/>
      <c r="J202" s="400">
        <v>315766.21659599995</v>
      </c>
      <c r="K202" s="400">
        <v>35873.752123999999</v>
      </c>
      <c r="L202" s="400">
        <v>18807.498088</v>
      </c>
      <c r="M202" s="400">
        <v>147227.60892900001</v>
      </c>
      <c r="N202" s="400">
        <v>14446.258542</v>
      </c>
      <c r="O202" s="400">
        <v>8892.3984610000007</v>
      </c>
      <c r="P202" s="400"/>
      <c r="Q202" s="400">
        <v>225247.51614400002</v>
      </c>
      <c r="R202" s="400">
        <v>125845.783939</v>
      </c>
      <c r="S202" s="400">
        <v>42676.962312000003</v>
      </c>
      <c r="T202" s="400">
        <v>314936.101127</v>
      </c>
      <c r="U202" s="400">
        <v>39946.238882999998</v>
      </c>
      <c r="V202" s="400">
        <v>17608.646478999999</v>
      </c>
      <c r="W202" s="401"/>
      <c r="X202" s="400">
        <v>541013.73274000001</v>
      </c>
      <c r="Y202" s="402"/>
      <c r="Z202" s="325">
        <f t="shared" si="23"/>
        <v>2024</v>
      </c>
      <c r="AA202" s="403">
        <v>45566</v>
      </c>
      <c r="AB202" s="398">
        <f>'AUX UF'!C201</f>
        <v>37950.088709677402</v>
      </c>
      <c r="AC202" s="325">
        <f t="shared" si="20"/>
        <v>3.3160866869570427</v>
      </c>
      <c r="AD202" s="325">
        <f t="shared" si="20"/>
        <v>1.1245550079865092</v>
      </c>
      <c r="AE202" s="325">
        <f t="shared" si="20"/>
        <v>8.2986920936153226</v>
      </c>
      <c r="AF202" s="325">
        <f t="shared" si="19"/>
        <v>1.0525993546047647</v>
      </c>
      <c r="AG202" s="325">
        <f t="shared" si="19"/>
        <v>0.46399487004386725</v>
      </c>
      <c r="AH202" s="325">
        <f t="shared" si="19"/>
        <v>0</v>
      </c>
      <c r="AI202" s="325">
        <f t="shared" si="21"/>
        <v>14.255928013207507</v>
      </c>
      <c r="AJ202" s="447">
        <f t="shared" si="24"/>
        <v>8.3205659678860915</v>
      </c>
      <c r="AK202" s="447">
        <f t="shared" si="25"/>
        <v>5.9353620453214155</v>
      </c>
    </row>
    <row r="203" spans="2:37" s="63" customFormat="1" ht="12.75" x14ac:dyDescent="0.2">
      <c r="B203" s="325">
        <f t="shared" si="22"/>
        <v>2024</v>
      </c>
      <c r="C203" s="403">
        <v>45597</v>
      </c>
      <c r="D203" s="400">
        <v>90498.640352000002</v>
      </c>
      <c r="E203" s="400">
        <v>23903.194656</v>
      </c>
      <c r="F203" s="400">
        <v>168471.81033899999</v>
      </c>
      <c r="G203" s="400">
        <v>25397.326018</v>
      </c>
      <c r="H203" s="400">
        <v>8714.7226589999991</v>
      </c>
      <c r="I203" s="400"/>
      <c r="J203" s="400">
        <v>316985.69402400003</v>
      </c>
      <c r="K203" s="400">
        <v>36060.013730999999</v>
      </c>
      <c r="L203" s="400">
        <v>18858.278688999999</v>
      </c>
      <c r="M203" s="400">
        <v>148211.9852</v>
      </c>
      <c r="N203" s="400">
        <v>14386.857635</v>
      </c>
      <c r="O203" s="400">
        <v>8918.750489</v>
      </c>
      <c r="P203" s="400"/>
      <c r="Q203" s="400">
        <v>226435.885744</v>
      </c>
      <c r="R203" s="400">
        <v>126558.654083</v>
      </c>
      <c r="S203" s="400">
        <v>42761.473344999999</v>
      </c>
      <c r="T203" s="400">
        <v>316683.79553900001</v>
      </c>
      <c r="U203" s="400">
        <v>39784.183653</v>
      </c>
      <c r="V203" s="400">
        <v>17633.473148000001</v>
      </c>
      <c r="W203" s="401"/>
      <c r="X203" s="400">
        <v>543421.57976800005</v>
      </c>
      <c r="Y203" s="402"/>
      <c r="Z203" s="325">
        <f t="shared" si="23"/>
        <v>2024</v>
      </c>
      <c r="AA203" s="403">
        <v>45597</v>
      </c>
      <c r="AB203" s="398">
        <f>'AUX UF'!C202</f>
        <v>38078.207333333303</v>
      </c>
      <c r="AC203" s="325">
        <f t="shared" si="20"/>
        <v>3.3236505325767203</v>
      </c>
      <c r="AD203" s="325">
        <f t="shared" si="20"/>
        <v>1.1229907167285949</v>
      </c>
      <c r="AE203" s="325">
        <f t="shared" si="20"/>
        <v>8.3166676615518611</v>
      </c>
      <c r="AF203" s="325">
        <f t="shared" si="19"/>
        <v>1.0448019074199772</v>
      </c>
      <c r="AG203" s="325">
        <f t="shared" si="19"/>
        <v>0.46308569606857058</v>
      </c>
      <c r="AH203" s="325">
        <f t="shared" si="19"/>
        <v>0</v>
      </c>
      <c r="AI203" s="325">
        <f t="shared" si="21"/>
        <v>14.271196514345725</v>
      </c>
      <c r="AJ203" s="447">
        <f t="shared" si="24"/>
        <v>8.3245960412247069</v>
      </c>
      <c r="AK203" s="447">
        <f t="shared" si="25"/>
        <v>5.9466004731210171</v>
      </c>
    </row>
    <row r="204" spans="2:37" s="63" customFormat="1" ht="12.75" x14ac:dyDescent="0.2">
      <c r="B204" s="325">
        <f t="shared" si="22"/>
        <v>2024</v>
      </c>
      <c r="C204" s="403">
        <v>45627</v>
      </c>
      <c r="D204" s="400">
        <v>90818.148713999995</v>
      </c>
      <c r="E204" s="400">
        <v>23950.053108</v>
      </c>
      <c r="F204" s="400">
        <v>169345.650444</v>
      </c>
      <c r="G204" s="400">
        <v>25356.982544999999</v>
      </c>
      <c r="H204" s="400">
        <v>8707.5189449999998</v>
      </c>
      <c r="I204" s="400"/>
      <c r="J204" s="400">
        <v>318178.353756</v>
      </c>
      <c r="K204" s="400">
        <v>36182.865166000003</v>
      </c>
      <c r="L204" s="400">
        <v>18890.445152</v>
      </c>
      <c r="M204" s="400">
        <v>149271.639543</v>
      </c>
      <c r="N204" s="400">
        <v>14326.870634000001</v>
      </c>
      <c r="O204" s="400">
        <v>8921.1728039999998</v>
      </c>
      <c r="P204" s="400"/>
      <c r="Q204" s="400">
        <v>227592.99329899999</v>
      </c>
      <c r="R204" s="400">
        <v>127001.01388</v>
      </c>
      <c r="S204" s="400">
        <v>42840.49826</v>
      </c>
      <c r="T204" s="400">
        <v>318617.289987</v>
      </c>
      <c r="U204" s="400">
        <v>39683.853178999998</v>
      </c>
      <c r="V204" s="400">
        <v>17628.691749000001</v>
      </c>
      <c r="W204" s="401"/>
      <c r="X204" s="400">
        <v>545771.34705500002</v>
      </c>
      <c r="Y204" s="402"/>
      <c r="Z204" s="325">
        <f t="shared" si="23"/>
        <v>2024</v>
      </c>
      <c r="AA204" s="403">
        <v>45627</v>
      </c>
      <c r="AB204" s="398">
        <f>'AUX UF'!C203</f>
        <v>38367.6880645161</v>
      </c>
      <c r="AC204" s="325">
        <f t="shared" si="20"/>
        <v>3.3101033783022067</v>
      </c>
      <c r="AD204" s="325">
        <f t="shared" si="20"/>
        <v>1.1165775271098632</v>
      </c>
      <c r="AE204" s="325">
        <f t="shared" si="20"/>
        <v>8.3043129794851875</v>
      </c>
      <c r="AF204" s="325">
        <f t="shared" si="19"/>
        <v>1.0343039985174696</v>
      </c>
      <c r="AG204" s="325">
        <f t="shared" si="19"/>
        <v>0.45946713597538047</v>
      </c>
      <c r="AH204" s="325">
        <f t="shared" si="19"/>
        <v>0</v>
      </c>
      <c r="AI204" s="325">
        <f t="shared" si="21"/>
        <v>14.224765019390109</v>
      </c>
      <c r="AJ204" s="447">
        <f t="shared" si="24"/>
        <v>8.292872721988779</v>
      </c>
      <c r="AK204" s="447">
        <f t="shared" si="25"/>
        <v>5.9318922974013297</v>
      </c>
    </row>
    <row r="205" spans="2:37" s="63" customFormat="1" ht="12.75" x14ac:dyDescent="0.2">
      <c r="B205" s="325">
        <f t="shared" si="22"/>
        <v>2025</v>
      </c>
      <c r="C205" s="403">
        <v>45658</v>
      </c>
      <c r="D205" s="400">
        <v>90949.680215999993</v>
      </c>
      <c r="E205" s="400">
        <v>24013.490666000002</v>
      </c>
      <c r="F205" s="400">
        <v>170036.73828200001</v>
      </c>
      <c r="G205" s="400">
        <v>25299.360353</v>
      </c>
      <c r="H205" s="400">
        <v>8697.0914499999999</v>
      </c>
      <c r="I205" s="400"/>
      <c r="J205" s="400">
        <v>318996.36096700002</v>
      </c>
      <c r="K205" s="400">
        <v>36262.314982999997</v>
      </c>
      <c r="L205" s="400">
        <v>18940.362733999998</v>
      </c>
      <c r="M205" s="400">
        <v>150121.84768899999</v>
      </c>
      <c r="N205" s="400">
        <v>14252.072735</v>
      </c>
      <c r="O205" s="400">
        <v>8931.9757559999998</v>
      </c>
      <c r="P205" s="400"/>
      <c r="Q205" s="400">
        <v>228508.57389699997</v>
      </c>
      <c r="R205" s="400">
        <v>127211.995199</v>
      </c>
      <c r="S205" s="400">
        <v>42953.8534</v>
      </c>
      <c r="T205" s="400">
        <v>320158.58597100002</v>
      </c>
      <c r="U205" s="400">
        <v>39551.433087999998</v>
      </c>
      <c r="V205" s="400">
        <v>17629.067206</v>
      </c>
      <c r="W205" s="401"/>
      <c r="X205" s="400">
        <v>547504.93486399995</v>
      </c>
      <c r="Y205" s="402"/>
      <c r="Z205" s="325">
        <f t="shared" si="23"/>
        <v>2025</v>
      </c>
      <c r="AA205" s="403">
        <v>45658</v>
      </c>
      <c r="AB205" s="398">
        <f>'AUX UF'!C204</f>
        <v>38415.854193548403</v>
      </c>
      <c r="AC205" s="325">
        <f t="shared" ref="AC205:AC216" si="26">+R205/$AB205</f>
        <v>3.3114451798487954</v>
      </c>
      <c r="AD205" s="325">
        <f t="shared" ref="AD205:AD216" si="27">+S205/$AB205</f>
        <v>1.1181282910849268</v>
      </c>
      <c r="AE205" s="325">
        <f t="shared" ref="AE205:AE216" si="28">+T205/$AB205</f>
        <v>8.3340223116727614</v>
      </c>
      <c r="AF205" s="325">
        <f t="shared" ref="AF205:AF216" si="29">+U205/$AB205</f>
        <v>1.0295601625498232</v>
      </c>
      <c r="AG205" s="325">
        <f t="shared" ref="AG205:AG216" si="30">+V205/$AB205</f>
        <v>0.45890082561175077</v>
      </c>
      <c r="AH205" s="325">
        <f t="shared" ref="AH205:AH216" si="31">+W205/$AB205</f>
        <v>0</v>
      </c>
      <c r="AI205" s="325">
        <f t="shared" ref="AI205:AI216" si="32">+X205/$AB205</f>
        <v>14.252056770768057</v>
      </c>
      <c r="AJ205" s="447">
        <f t="shared" ref="AJ205:AJ216" si="33">J205/$AB205</f>
        <v>8.3037685263958689</v>
      </c>
      <c r="AK205" s="447">
        <f t="shared" ref="AK205:AK216" si="34">Q205/$AB205</f>
        <v>5.9482882443721872</v>
      </c>
    </row>
    <row r="206" spans="2:37" ht="12.75" x14ac:dyDescent="0.2">
      <c r="B206" s="325">
        <f t="shared" si="22"/>
        <v>2025</v>
      </c>
      <c r="C206" s="403">
        <v>45689</v>
      </c>
      <c r="D206" s="400">
        <v>95057.054667000004</v>
      </c>
      <c r="E206" s="400">
        <v>25176.251881</v>
      </c>
      <c r="F206" s="400">
        <v>178668.79045299999</v>
      </c>
      <c r="G206" s="400">
        <v>25243.300502999999</v>
      </c>
      <c r="H206" s="400">
        <v>9170.4193730000006</v>
      </c>
      <c r="I206" s="400"/>
      <c r="J206" s="400">
        <v>333315.81687699998</v>
      </c>
      <c r="K206" s="400">
        <v>37907.279031999999</v>
      </c>
      <c r="L206" s="400">
        <v>19836.249842000001</v>
      </c>
      <c r="M206" s="400">
        <v>157935.18779500001</v>
      </c>
      <c r="N206" s="400">
        <v>14209.225238999999</v>
      </c>
      <c r="O206" s="400">
        <v>9464.3405180000009</v>
      </c>
      <c r="P206" s="400"/>
      <c r="Q206" s="400">
        <v>239352.28242599999</v>
      </c>
      <c r="R206" s="400">
        <v>132964.33369900001</v>
      </c>
      <c r="S206" s="400">
        <v>45012.501723000001</v>
      </c>
      <c r="T206" s="400">
        <v>336603.97824800003</v>
      </c>
      <c r="U206" s="400">
        <v>39452.525741999998</v>
      </c>
      <c r="V206" s="400">
        <v>18634.759891000002</v>
      </c>
      <c r="W206" s="401"/>
      <c r="X206" s="400">
        <v>572668.09930299991</v>
      </c>
      <c r="Z206" s="325">
        <f t="shared" si="23"/>
        <v>2025</v>
      </c>
      <c r="AA206" s="403">
        <v>45689</v>
      </c>
      <c r="AB206" s="398">
        <f>'AUX UF'!C205</f>
        <v>38467.253214285702</v>
      </c>
      <c r="AC206" s="325">
        <f t="shared" si="26"/>
        <v>3.456559088279811</v>
      </c>
      <c r="AD206" s="325">
        <f t="shared" si="27"/>
        <v>1.1701511795566306</v>
      </c>
      <c r="AE206" s="325">
        <f t="shared" si="28"/>
        <v>8.7504032682789621</v>
      </c>
      <c r="AF206" s="325">
        <f t="shared" si="29"/>
        <v>1.025613280007952</v>
      </c>
      <c r="AG206" s="325">
        <f t="shared" si="30"/>
        <v>0.48443177856222791</v>
      </c>
      <c r="AH206" s="325">
        <f t="shared" si="31"/>
        <v>0</v>
      </c>
      <c r="AI206" s="325">
        <f t="shared" si="32"/>
        <v>14.88715859468558</v>
      </c>
      <c r="AJ206" s="447">
        <f t="shared" si="33"/>
        <v>8.6649237734815827</v>
      </c>
      <c r="AK206" s="447">
        <f t="shared" si="34"/>
        <v>6.2222348212040002</v>
      </c>
    </row>
    <row r="207" spans="2:37" ht="12.75" x14ac:dyDescent="0.2">
      <c r="B207" s="325">
        <f t="shared" si="22"/>
        <v>2025</v>
      </c>
      <c r="C207" s="403">
        <v>45717</v>
      </c>
      <c r="D207" s="400">
        <v>95481.930345000001</v>
      </c>
      <c r="E207" s="400">
        <v>25254.481471999999</v>
      </c>
      <c r="F207" s="400">
        <v>179571.400849</v>
      </c>
      <c r="G207" s="400">
        <v>25206.687395000001</v>
      </c>
      <c r="H207" s="400">
        <v>9203.8027500000007</v>
      </c>
      <c r="I207" s="400"/>
      <c r="J207" s="400">
        <v>334718.30281099997</v>
      </c>
      <c r="K207" s="400">
        <v>37976.717055000001</v>
      </c>
      <c r="L207" s="400">
        <v>19912.771765000001</v>
      </c>
      <c r="M207" s="400">
        <v>158801.05823900001</v>
      </c>
      <c r="N207" s="400">
        <v>14167.742474000001</v>
      </c>
      <c r="O207" s="400">
        <v>9507.3576709999998</v>
      </c>
      <c r="P207" s="400"/>
      <c r="Q207" s="400">
        <v>240365.64720400001</v>
      </c>
      <c r="R207" s="400">
        <v>133458.64739999999</v>
      </c>
      <c r="S207" s="400">
        <v>45167.253236999997</v>
      </c>
      <c r="T207" s="400">
        <v>338372.459088</v>
      </c>
      <c r="U207" s="400">
        <v>39374.429869</v>
      </c>
      <c r="V207" s="400">
        <v>18711.160421</v>
      </c>
      <c r="W207" s="401"/>
      <c r="X207" s="400">
        <v>575083.95001499995</v>
      </c>
      <c r="Z207" s="325">
        <f t="shared" si="23"/>
        <v>2025</v>
      </c>
      <c r="AA207" s="403">
        <v>45717</v>
      </c>
      <c r="AB207" s="398">
        <f>'AUX UF'!C206</f>
        <v>38807.3032258065</v>
      </c>
      <c r="AC207" s="325">
        <f t="shared" si="26"/>
        <v>3.4390085449496324</v>
      </c>
      <c r="AD207" s="325">
        <f t="shared" si="27"/>
        <v>1.1638853896697514</v>
      </c>
      <c r="AE207" s="325">
        <f t="shared" si="28"/>
        <v>8.7192984557346271</v>
      </c>
      <c r="AF207" s="325">
        <f t="shared" si="29"/>
        <v>1.0146139153213916</v>
      </c>
      <c r="AG207" s="325">
        <f t="shared" si="30"/>
        <v>0.48215564766575303</v>
      </c>
      <c r="AH207" s="325">
        <f t="shared" si="31"/>
        <v>0</v>
      </c>
      <c r="AI207" s="325">
        <f t="shared" si="32"/>
        <v>14.818961953341153</v>
      </c>
      <c r="AJ207" s="447">
        <f t="shared" si="33"/>
        <v>8.6251368940373929</v>
      </c>
      <c r="AK207" s="447">
        <f t="shared" si="34"/>
        <v>6.1938250593037614</v>
      </c>
    </row>
    <row r="208" spans="2:37" ht="12.75" x14ac:dyDescent="0.2">
      <c r="B208" s="325">
        <f t="shared" si="22"/>
        <v>2025</v>
      </c>
      <c r="C208" s="403">
        <v>45748</v>
      </c>
      <c r="D208" s="400">
        <v>95853.105729000003</v>
      </c>
      <c r="E208" s="400">
        <v>25320.957512000001</v>
      </c>
      <c r="F208" s="400">
        <v>180755.874343</v>
      </c>
      <c r="G208" s="400">
        <v>25175.324721000001</v>
      </c>
      <c r="H208" s="400">
        <v>9216.9762549999996</v>
      </c>
      <c r="I208" s="400"/>
      <c r="J208" s="400">
        <v>336322.23855999997</v>
      </c>
      <c r="K208" s="400">
        <v>38001.305761000003</v>
      </c>
      <c r="L208" s="400">
        <v>19961.870417999999</v>
      </c>
      <c r="M208" s="400">
        <v>159765.92060000001</v>
      </c>
      <c r="N208" s="400">
        <v>14119.687562999999</v>
      </c>
      <c r="O208" s="400">
        <v>9540.4534189999995</v>
      </c>
      <c r="P208" s="400"/>
      <c r="Q208" s="400">
        <v>241389.23776100003</v>
      </c>
      <c r="R208" s="400">
        <v>133854.41149</v>
      </c>
      <c r="S208" s="400">
        <v>45282.827929999999</v>
      </c>
      <c r="T208" s="400">
        <v>340521.79494300002</v>
      </c>
      <c r="U208" s="400">
        <v>39295.012283999997</v>
      </c>
      <c r="V208" s="400">
        <v>18757.429673999999</v>
      </c>
      <c r="W208" s="401"/>
      <c r="X208" s="400">
        <v>577711.47632100002</v>
      </c>
      <c r="Z208" s="325">
        <f t="shared" si="23"/>
        <v>2025</v>
      </c>
      <c r="AA208" s="403">
        <v>45748</v>
      </c>
      <c r="AB208" s="398">
        <f>'AUX UF'!C207</f>
        <v>38983.110666666696</v>
      </c>
      <c r="AC208" s="325">
        <f t="shared" si="26"/>
        <v>3.4336513736564114</v>
      </c>
      <c r="AD208" s="325">
        <f t="shared" si="27"/>
        <v>1.1616011948661655</v>
      </c>
      <c r="AE208" s="325">
        <f t="shared" si="28"/>
        <v>8.7351109010951795</v>
      </c>
      <c r="AF208" s="325">
        <f t="shared" si="29"/>
        <v>1.0080009422542053</v>
      </c>
      <c r="AG208" s="325">
        <f t="shared" si="30"/>
        <v>0.48116810981015229</v>
      </c>
      <c r="AH208" s="325">
        <f t="shared" si="31"/>
        <v>0</v>
      </c>
      <c r="AI208" s="325">
        <f t="shared" si="32"/>
        <v>14.819532521682113</v>
      </c>
      <c r="AJ208" s="447">
        <f t="shared" si="33"/>
        <v>8.6273833157080286</v>
      </c>
      <c r="AK208" s="447">
        <f t="shared" si="34"/>
        <v>6.1921492059740837</v>
      </c>
    </row>
    <row r="209" spans="2:37" ht="12.75" x14ac:dyDescent="0.2">
      <c r="B209" s="325">
        <f t="shared" si="22"/>
        <v>2025</v>
      </c>
      <c r="C209" s="403">
        <v>45778</v>
      </c>
      <c r="D209" s="400">
        <v>96016.611353</v>
      </c>
      <c r="E209" s="400">
        <v>25340.274648999999</v>
      </c>
      <c r="F209" s="400">
        <v>181555.52234299999</v>
      </c>
      <c r="G209" s="400">
        <v>25068.804888999999</v>
      </c>
      <c r="H209" s="400">
        <v>9228.9148139999998</v>
      </c>
      <c r="I209" s="400"/>
      <c r="J209" s="400">
        <v>337210.12804800004</v>
      </c>
      <c r="K209" s="400">
        <v>38019.249369999998</v>
      </c>
      <c r="L209" s="400">
        <v>19991.755209999999</v>
      </c>
      <c r="M209" s="400">
        <v>160542.911525</v>
      </c>
      <c r="N209" s="400">
        <v>14070.539219</v>
      </c>
      <c r="O209" s="400">
        <v>9577.3454349999993</v>
      </c>
      <c r="P209" s="400"/>
      <c r="Q209" s="400">
        <v>242201.80075900001</v>
      </c>
      <c r="R209" s="400">
        <v>134035.86072299999</v>
      </c>
      <c r="S209" s="400">
        <v>45332.029859000002</v>
      </c>
      <c r="T209" s="400">
        <v>342098.43386799999</v>
      </c>
      <c r="U209" s="400">
        <v>39139.344107999998</v>
      </c>
      <c r="V209" s="400">
        <v>18806.260248999999</v>
      </c>
      <c r="W209" s="401"/>
      <c r="X209" s="400">
        <v>579411.92880700005</v>
      </c>
      <c r="Z209" s="325">
        <f t="shared" si="23"/>
        <v>2025</v>
      </c>
      <c r="AA209" s="403">
        <v>45778</v>
      </c>
      <c r="AB209" s="398">
        <f>'AUX UF'!C208</f>
        <v>39146.9616129032</v>
      </c>
      <c r="AC209" s="325">
        <f t="shared" si="26"/>
        <v>3.4239147867562862</v>
      </c>
      <c r="AD209" s="325">
        <f t="shared" si="27"/>
        <v>1.1579961251464825</v>
      </c>
      <c r="AE209" s="325">
        <f t="shared" si="28"/>
        <v>8.7388246692239129</v>
      </c>
      <c r="AF209" s="325">
        <f t="shared" si="29"/>
        <v>0.99980541261468703</v>
      </c>
      <c r="AG209" s="325">
        <f t="shared" si="30"/>
        <v>0.48040152988019591</v>
      </c>
      <c r="AH209" s="325">
        <f t="shared" si="31"/>
        <v>0</v>
      </c>
      <c r="AI209" s="325">
        <f t="shared" si="32"/>
        <v>14.800942523621565</v>
      </c>
      <c r="AJ209" s="447">
        <f t="shared" si="33"/>
        <v>8.6139540376705117</v>
      </c>
      <c r="AK209" s="447">
        <f t="shared" si="34"/>
        <v>6.186988485951054</v>
      </c>
    </row>
    <row r="210" spans="2:37" ht="12.75" x14ac:dyDescent="0.2">
      <c r="B210" s="325">
        <f t="shared" si="22"/>
        <v>2025</v>
      </c>
      <c r="C210" s="403">
        <v>45809</v>
      </c>
      <c r="D210" s="400">
        <v>96165.966937000005</v>
      </c>
      <c r="E210" s="400">
        <v>25370.335283</v>
      </c>
      <c r="F210" s="400">
        <v>182364.776729</v>
      </c>
      <c r="G210" s="400">
        <v>26220.936228999999</v>
      </c>
      <c r="H210" s="400">
        <v>9262.3342360000006</v>
      </c>
      <c r="I210" s="400"/>
      <c r="J210" s="400">
        <v>339384.349414</v>
      </c>
      <c r="K210" s="400">
        <v>38058.991453000002</v>
      </c>
      <c r="L210" s="400">
        <v>20027.088414000002</v>
      </c>
      <c r="M210" s="400">
        <v>161156.677624</v>
      </c>
      <c r="N210" s="400">
        <v>14711.984245</v>
      </c>
      <c r="O210" s="400">
        <v>9618.2372579999992</v>
      </c>
      <c r="P210" s="400"/>
      <c r="Q210" s="400">
        <v>243572.978994</v>
      </c>
      <c r="R210" s="400">
        <v>134224.95839000001</v>
      </c>
      <c r="S210" s="400">
        <v>45397.423696999998</v>
      </c>
      <c r="T210" s="400">
        <v>343521.45435299998</v>
      </c>
      <c r="U210" s="400">
        <v>40932.920473999999</v>
      </c>
      <c r="V210" s="400">
        <v>18880.571494</v>
      </c>
      <c r="W210" s="401"/>
      <c r="X210" s="400">
        <v>582957.32840800006</v>
      </c>
      <c r="Z210" s="325">
        <f t="shared" si="23"/>
        <v>2025</v>
      </c>
      <c r="AA210" s="403">
        <v>45809</v>
      </c>
      <c r="AB210" s="398">
        <f>'AUX UF'!C209</f>
        <v>39229.275666666697</v>
      </c>
      <c r="AC210" s="325">
        <f t="shared" si="26"/>
        <v>3.4215507706672139</v>
      </c>
      <c r="AD210" s="325">
        <f t="shared" si="27"/>
        <v>1.1572332888005477</v>
      </c>
      <c r="AE210" s="325">
        <f t="shared" si="28"/>
        <v>8.7567626094328279</v>
      </c>
      <c r="AF210" s="325">
        <f t="shared" si="29"/>
        <v>1.0434278935407644</v>
      </c>
      <c r="AG210" s="325">
        <f t="shared" si="30"/>
        <v>0.48128779267884653</v>
      </c>
      <c r="AH210" s="325">
        <f t="shared" si="31"/>
        <v>0</v>
      </c>
      <c r="AI210" s="325">
        <f t="shared" si="32"/>
        <v>14.8602623551202</v>
      </c>
      <c r="AJ210" s="447">
        <f t="shared" si="33"/>
        <v>8.6513029783615529</v>
      </c>
      <c r="AK210" s="447">
        <f t="shared" si="34"/>
        <v>6.2089593767586466</v>
      </c>
    </row>
    <row r="211" spans="2:37" ht="12.75" x14ac:dyDescent="0.2">
      <c r="B211" s="325">
        <f t="shared" si="22"/>
        <v>2025</v>
      </c>
      <c r="C211" s="403">
        <v>45839</v>
      </c>
      <c r="D211" s="400">
        <v>96188.010131000003</v>
      </c>
      <c r="E211" s="400">
        <v>25406.149261999999</v>
      </c>
      <c r="F211" s="400">
        <v>183108.52754099999</v>
      </c>
      <c r="G211" s="400">
        <v>26174.246544000001</v>
      </c>
      <c r="H211" s="400">
        <v>9284.5925339999994</v>
      </c>
      <c r="I211" s="400"/>
      <c r="J211" s="400">
        <v>340161.52601199999</v>
      </c>
      <c r="K211" s="400">
        <v>38052.992649</v>
      </c>
      <c r="L211" s="400">
        <v>20062.405506999999</v>
      </c>
      <c r="M211" s="400">
        <v>161918.08952199999</v>
      </c>
      <c r="N211" s="400">
        <v>14648.215915000001</v>
      </c>
      <c r="O211" s="400">
        <v>9659.2194909999998</v>
      </c>
      <c r="P211" s="400"/>
      <c r="Q211" s="400">
        <v>244340.92308400001</v>
      </c>
      <c r="R211" s="400">
        <v>134241.00278000001</v>
      </c>
      <c r="S211" s="400">
        <v>45468.554769000002</v>
      </c>
      <c r="T211" s="400">
        <v>345026.61706299998</v>
      </c>
      <c r="U211" s="400">
        <v>40822.462459000002</v>
      </c>
      <c r="V211" s="400">
        <v>18943.812024999999</v>
      </c>
      <c r="W211" s="401"/>
      <c r="X211" s="400">
        <v>584502.44909600005</v>
      </c>
      <c r="Z211" s="325">
        <f t="shared" si="23"/>
        <v>2025</v>
      </c>
      <c r="AA211" s="403">
        <v>45839</v>
      </c>
      <c r="AB211" s="398">
        <f>'AUX UF'!C210</f>
        <v>39246.154838709699</v>
      </c>
      <c r="AC211" s="325">
        <f t="shared" si="26"/>
        <v>3.4204880282333785</v>
      </c>
      <c r="AD211" s="325">
        <f t="shared" si="27"/>
        <v>1.1585480145981832</v>
      </c>
      <c r="AE211" s="325">
        <f t="shared" si="28"/>
        <v>8.7913483112156889</v>
      </c>
      <c r="AF211" s="325">
        <f t="shared" si="29"/>
        <v>1.0401646384663279</v>
      </c>
      <c r="AG211" s="325">
        <f t="shared" si="30"/>
        <v>0.48269217972699657</v>
      </c>
      <c r="AH211" s="325">
        <f t="shared" si="31"/>
        <v>0</v>
      </c>
      <c r="AI211" s="325">
        <f t="shared" si="32"/>
        <v>14.893241172240577</v>
      </c>
      <c r="AJ211" s="447">
        <f t="shared" si="33"/>
        <v>8.6673848026632179</v>
      </c>
      <c r="AK211" s="447">
        <f t="shared" si="34"/>
        <v>6.2258563695773574</v>
      </c>
    </row>
    <row r="212" spans="2:37" ht="12.75" x14ac:dyDescent="0.2">
      <c r="B212" s="325">
        <f t="shared" si="22"/>
        <v>2025</v>
      </c>
      <c r="C212" s="403">
        <v>45870</v>
      </c>
      <c r="D212" s="400">
        <v>96689.240667000005</v>
      </c>
      <c r="E212" s="400">
        <v>25459.023914000001</v>
      </c>
      <c r="F212" s="400">
        <v>184172.670793</v>
      </c>
      <c r="G212" s="400">
        <v>26104.534256999999</v>
      </c>
      <c r="H212" s="400">
        <v>9295.2980260000004</v>
      </c>
      <c r="I212" s="400"/>
      <c r="J212" s="400">
        <v>341720.76765699999</v>
      </c>
      <c r="K212" s="400">
        <v>38217.422191999998</v>
      </c>
      <c r="L212" s="400">
        <v>20100.495895</v>
      </c>
      <c r="M212" s="400">
        <v>162942.48766700001</v>
      </c>
      <c r="N212" s="400">
        <v>14588.379031</v>
      </c>
      <c r="O212" s="400">
        <v>9694.8012450000006</v>
      </c>
      <c r="P212" s="400"/>
      <c r="Q212" s="400">
        <v>245543.58603000001</v>
      </c>
      <c r="R212" s="400">
        <v>134906.662859</v>
      </c>
      <c r="S212" s="400">
        <v>45559.519808999998</v>
      </c>
      <c r="T212" s="400">
        <v>347115.15846000001</v>
      </c>
      <c r="U212" s="400">
        <v>40692.913288000003</v>
      </c>
      <c r="V212" s="400">
        <v>18990.099270999999</v>
      </c>
      <c r="W212" s="401"/>
      <c r="X212" s="400">
        <v>587264.353687</v>
      </c>
      <c r="Z212" s="325">
        <f t="shared" si="23"/>
        <v>2025</v>
      </c>
      <c r="AA212" s="403">
        <v>45870</v>
      </c>
      <c r="AB212" s="398">
        <f>'AUX UF'!C211</f>
        <v>39231.836129032301</v>
      </c>
      <c r="AC212" s="325">
        <f t="shared" si="26"/>
        <v>3.4387037714802884</v>
      </c>
      <c r="AD212" s="325">
        <f t="shared" si="27"/>
        <v>1.1612895113844823</v>
      </c>
      <c r="AE212" s="325">
        <f t="shared" si="28"/>
        <v>8.8477928312697109</v>
      </c>
      <c r="AF212" s="325">
        <f t="shared" si="29"/>
        <v>1.0372421304514594</v>
      </c>
      <c r="AG212" s="325">
        <f t="shared" si="30"/>
        <v>0.48404819006029048</v>
      </c>
      <c r="AH212" s="325">
        <f t="shared" si="31"/>
        <v>0</v>
      </c>
      <c r="AI212" s="325">
        <f t="shared" si="32"/>
        <v>14.96907643464623</v>
      </c>
      <c r="AJ212" s="447">
        <f t="shared" si="33"/>
        <v>8.7102924913606117</v>
      </c>
      <c r="AK212" s="447">
        <f t="shared" si="34"/>
        <v>6.2587839432856196</v>
      </c>
    </row>
    <row r="213" spans="2:37" ht="12.75" x14ac:dyDescent="0.2">
      <c r="B213" s="325">
        <f t="shared" si="22"/>
        <v>2025</v>
      </c>
      <c r="C213" s="403">
        <v>45901</v>
      </c>
      <c r="D213" s="400">
        <v>99372.320699000004</v>
      </c>
      <c r="E213" s="400">
        <v>28488.802509000001</v>
      </c>
      <c r="F213" s="400">
        <v>190158.99672600001</v>
      </c>
      <c r="G213" s="400">
        <v>26091.833470000001</v>
      </c>
      <c r="H213" s="400">
        <v>10602.250700000001</v>
      </c>
      <c r="I213" s="400"/>
      <c r="J213" s="400">
        <v>354714.204104</v>
      </c>
      <c r="K213" s="400">
        <v>40178.095257000001</v>
      </c>
      <c r="L213" s="400">
        <v>22505.039703999999</v>
      </c>
      <c r="M213" s="400">
        <v>166596.555162</v>
      </c>
      <c r="N213" s="400">
        <v>14603.351672999999</v>
      </c>
      <c r="O213" s="400">
        <v>11149.130343000001</v>
      </c>
      <c r="P213" s="400"/>
      <c r="Q213" s="400">
        <v>255032.172139</v>
      </c>
      <c r="R213" s="400">
        <v>139550.41595600001</v>
      </c>
      <c r="S213" s="400">
        <v>50993.842213000004</v>
      </c>
      <c r="T213" s="400">
        <v>356755.55188799999</v>
      </c>
      <c r="U213" s="400">
        <v>40695.185143000002</v>
      </c>
      <c r="V213" s="400">
        <v>21751.381043000001</v>
      </c>
      <c r="W213" s="401"/>
      <c r="X213" s="400">
        <v>609746.37624300004</v>
      </c>
      <c r="Z213" s="325">
        <f t="shared" si="23"/>
        <v>2025</v>
      </c>
      <c r="AA213" s="403">
        <v>45901</v>
      </c>
      <c r="AB213" s="398">
        <f>'AUX UF'!C212</f>
        <v>39471.966999999997</v>
      </c>
      <c r="AC213" s="325">
        <f t="shared" si="26"/>
        <v>3.5354310048951962</v>
      </c>
      <c r="AD213" s="325">
        <f t="shared" si="27"/>
        <v>1.2919002038332674</v>
      </c>
      <c r="AE213" s="325">
        <f t="shared" si="28"/>
        <v>9.0382005003196326</v>
      </c>
      <c r="AF213" s="325">
        <f t="shared" si="29"/>
        <v>1.030989541083676</v>
      </c>
      <c r="AG213" s="325">
        <f t="shared" si="30"/>
        <v>0.55105895895687196</v>
      </c>
      <c r="AH213" s="325">
        <f t="shared" si="31"/>
        <v>0</v>
      </c>
      <c r="AI213" s="325">
        <f t="shared" si="32"/>
        <v>15.447580209088645</v>
      </c>
      <c r="AJ213" s="447">
        <f t="shared" si="33"/>
        <v>8.9864841066572652</v>
      </c>
      <c r="AK213" s="447">
        <f t="shared" si="34"/>
        <v>6.4610961024313793</v>
      </c>
    </row>
    <row r="214" spans="2:37" ht="12.75" x14ac:dyDescent="0.2">
      <c r="B214" s="325">
        <f t="shared" si="22"/>
        <v>2025</v>
      </c>
      <c r="C214" s="403">
        <v>45931</v>
      </c>
      <c r="D214" s="400">
        <v>99823.634172999999</v>
      </c>
      <c r="E214" s="400">
        <v>28448.493415000001</v>
      </c>
      <c r="F214" s="400">
        <v>191429.55150599999</v>
      </c>
      <c r="G214" s="400">
        <v>26042.892575999998</v>
      </c>
      <c r="H214" s="400">
        <v>10601.36045</v>
      </c>
      <c r="I214" s="400"/>
      <c r="J214" s="400">
        <v>356345.93212000001</v>
      </c>
      <c r="K214" s="400">
        <v>40549.997394999999</v>
      </c>
      <c r="L214" s="400">
        <v>22507.975522000001</v>
      </c>
      <c r="M214" s="400">
        <v>167490.053522</v>
      </c>
      <c r="N214" s="400">
        <v>14537.538634</v>
      </c>
      <c r="O214" s="400">
        <v>11156.591295</v>
      </c>
      <c r="P214" s="400"/>
      <c r="Q214" s="400">
        <v>256242.156368</v>
      </c>
      <c r="R214" s="400">
        <v>140373.63156800001</v>
      </c>
      <c r="S214" s="400">
        <v>50956.468936999998</v>
      </c>
      <c r="T214" s="400">
        <v>358919.60502800002</v>
      </c>
      <c r="U214" s="400">
        <v>40580.431210000002</v>
      </c>
      <c r="V214" s="400">
        <v>21757.951744999998</v>
      </c>
      <c r="W214" s="401"/>
      <c r="X214" s="400">
        <v>612588.08848799998</v>
      </c>
      <c r="Z214" s="325">
        <f t="shared" si="23"/>
        <v>2025</v>
      </c>
      <c r="AA214" s="403">
        <v>45931</v>
      </c>
      <c r="AB214" s="398">
        <f>'AUX UF'!C213</f>
        <v>39527.188387096801</v>
      </c>
      <c r="AC214" s="325">
        <f t="shared" si="26"/>
        <v>3.5513184037603693</v>
      </c>
      <c r="AD214" s="325">
        <f t="shared" si="27"/>
        <v>1.2891498489084074</v>
      </c>
      <c r="AE214" s="325">
        <f t="shared" si="28"/>
        <v>9.080322169971625</v>
      </c>
      <c r="AF214" s="325">
        <f t="shared" si="29"/>
        <v>1.0266460344355537</v>
      </c>
      <c r="AG214" s="325">
        <f t="shared" si="30"/>
        <v>0.55045533550022574</v>
      </c>
      <c r="AH214" s="325">
        <f t="shared" si="31"/>
        <v>0</v>
      </c>
      <c r="AI214" s="325">
        <f t="shared" si="32"/>
        <v>15.49789179257618</v>
      </c>
      <c r="AJ214" s="447">
        <f t="shared" si="33"/>
        <v>9.0152107109223341</v>
      </c>
      <c r="AK214" s="447">
        <f t="shared" si="34"/>
        <v>6.4826810816538449</v>
      </c>
    </row>
    <row r="215" spans="2:37" ht="12.75" x14ac:dyDescent="0.2">
      <c r="B215" s="325">
        <f t="shared" si="22"/>
        <v>2025</v>
      </c>
      <c r="C215" s="403">
        <v>45962</v>
      </c>
      <c r="D215" s="400">
        <v>99848.533387999996</v>
      </c>
      <c r="E215" s="400">
        <v>28496.295407000001</v>
      </c>
      <c r="F215" s="400">
        <v>192234.91714199999</v>
      </c>
      <c r="G215" s="400">
        <v>25978.85007</v>
      </c>
      <c r="H215" s="400">
        <v>10593.45192</v>
      </c>
      <c r="I215" s="400"/>
      <c r="J215" s="400">
        <v>357152.04792699998</v>
      </c>
      <c r="K215" s="400">
        <v>40604.552409999997</v>
      </c>
      <c r="L215" s="400">
        <v>22551.329505999998</v>
      </c>
      <c r="M215" s="400">
        <v>168198.189725</v>
      </c>
      <c r="N215" s="400">
        <v>14477.628573</v>
      </c>
      <c r="O215" s="400">
        <v>11135.396209</v>
      </c>
      <c r="P215" s="400"/>
      <c r="Q215" s="400">
        <v>256967.09642299998</v>
      </c>
      <c r="R215" s="400">
        <v>140453.08579799999</v>
      </c>
      <c r="S215" s="400">
        <v>51047.624913</v>
      </c>
      <c r="T215" s="400">
        <v>360433.10686699999</v>
      </c>
      <c r="U215" s="400">
        <v>40456.478643000002</v>
      </c>
      <c r="V215" s="400">
        <v>21728.848129000002</v>
      </c>
      <c r="W215" s="401"/>
      <c r="X215" s="400">
        <v>614119.14434999996</v>
      </c>
      <c r="Z215" s="325">
        <f t="shared" si="23"/>
        <v>2025</v>
      </c>
      <c r="AA215" s="403">
        <v>45962</v>
      </c>
      <c r="AB215" s="398">
        <f>'AUX UF'!C214</f>
        <v>39637.466666666704</v>
      </c>
      <c r="AC215" s="325">
        <f t="shared" si="26"/>
        <v>3.5434425458909211</v>
      </c>
      <c r="AD215" s="325">
        <f t="shared" si="27"/>
        <v>1.2878629540653443</v>
      </c>
      <c r="AE215" s="325">
        <f t="shared" si="28"/>
        <v>9.0932427619070761</v>
      </c>
      <c r="AF215" s="325">
        <f t="shared" si="29"/>
        <v>1.0206625711784465</v>
      </c>
      <c r="AG215" s="325">
        <f t="shared" si="30"/>
        <v>0.5481896285585014</v>
      </c>
      <c r="AH215" s="325">
        <f t="shared" si="31"/>
        <v>0</v>
      </c>
      <c r="AI215" s="325">
        <f t="shared" si="32"/>
        <v>15.493400461600288</v>
      </c>
      <c r="AJ215" s="447">
        <f t="shared" si="33"/>
        <v>9.0104660555248977</v>
      </c>
      <c r="AK215" s="447">
        <f t="shared" si="34"/>
        <v>6.4829344060753904</v>
      </c>
    </row>
    <row r="216" spans="2:37" ht="12.75" x14ac:dyDescent="0.2">
      <c r="B216" s="325">
        <f t="shared" si="22"/>
        <v>2025</v>
      </c>
      <c r="C216" s="403">
        <v>45992</v>
      </c>
      <c r="D216" s="400">
        <v>100434.526627</v>
      </c>
      <c r="E216" s="400">
        <v>28523.438169000001</v>
      </c>
      <c r="F216" s="400">
        <v>194033.76006900001</v>
      </c>
      <c r="G216" s="400">
        <v>25924.795718000001</v>
      </c>
      <c r="H216" s="400">
        <v>10627.972279</v>
      </c>
      <c r="I216" s="400"/>
      <c r="J216" s="400">
        <v>359544.49286199996</v>
      </c>
      <c r="K216" s="400">
        <v>41061.644656999997</v>
      </c>
      <c r="L216" s="400">
        <v>22577.414858</v>
      </c>
      <c r="M216" s="400">
        <v>169678.72477599999</v>
      </c>
      <c r="N216" s="400">
        <v>14420.783013</v>
      </c>
      <c r="O216" s="400">
        <v>11196.203681000001</v>
      </c>
      <c r="P216" s="400"/>
      <c r="Q216" s="400">
        <v>258934.77098500001</v>
      </c>
      <c r="R216" s="400">
        <v>141496.17128400001</v>
      </c>
      <c r="S216" s="400">
        <v>51100.853026999997</v>
      </c>
      <c r="T216" s="400">
        <v>363712.48484500003</v>
      </c>
      <c r="U216" s="400">
        <v>40345.578731000001</v>
      </c>
      <c r="V216" s="400">
        <v>21824.17596</v>
      </c>
      <c r="W216" s="401"/>
      <c r="X216" s="400">
        <v>618479.26384699997</v>
      </c>
      <c r="Z216" s="325">
        <f t="shared" si="23"/>
        <v>2025</v>
      </c>
      <c r="AA216" s="403">
        <v>45992</v>
      </c>
      <c r="AB216" s="398">
        <f>'AUX UF'!C215</f>
        <v>39674.876774193603</v>
      </c>
      <c r="AC216" s="325">
        <f t="shared" si="26"/>
        <v>3.5663922055590542</v>
      </c>
      <c r="AD216" s="325">
        <f t="shared" si="27"/>
        <v>1.2879902140046062</v>
      </c>
      <c r="AE216" s="325">
        <f t="shared" si="28"/>
        <v>9.1673248770258482</v>
      </c>
      <c r="AF216" s="325">
        <f t="shared" si="29"/>
        <v>1.0169049537475225</v>
      </c>
      <c r="AG216" s="325">
        <f t="shared" si="30"/>
        <v>0.55007545667275937</v>
      </c>
      <c r="AH216" s="325">
        <f t="shared" si="31"/>
        <v>0</v>
      </c>
      <c r="AI216" s="325">
        <f t="shared" si="32"/>
        <v>15.588687707009788</v>
      </c>
      <c r="AJ216" s="447">
        <f t="shared" si="33"/>
        <v>9.0622711926320214</v>
      </c>
      <c r="AK216" s="447">
        <f t="shared" si="34"/>
        <v>6.5264165143777664</v>
      </c>
    </row>
  </sheetData>
  <mergeCells count="5">
    <mergeCell ref="B5:B6"/>
    <mergeCell ref="C5:C6"/>
    <mergeCell ref="D5:J5"/>
    <mergeCell ref="K5:Q5"/>
    <mergeCell ref="R5:X5"/>
  </mergeCells>
  <hyperlinks>
    <hyperlink ref="B3" r:id="rId1" xr:uid="{EC55FF4E-BE12-455E-ACD9-1CC188980416}"/>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94BFC-D39C-4EA2-AF9B-E7797752F132}">
  <sheetPr>
    <tabColor theme="3" tint="-0.249977111117893"/>
  </sheetPr>
  <dimension ref="B3:R24"/>
  <sheetViews>
    <sheetView showGridLines="0" workbookViewId="0">
      <selection activeCell="I20" sqref="I20"/>
    </sheetView>
    <sheetView workbookViewId="1"/>
  </sheetViews>
  <sheetFormatPr baseColWidth="10" defaultRowHeight="15" x14ac:dyDescent="0.25"/>
  <cols>
    <col min="1" max="1" width="6.28515625" customWidth="1"/>
    <col min="3" max="5" width="13" bestFit="1" customWidth="1"/>
    <col min="12" max="12" width="13.85546875" bestFit="1" customWidth="1"/>
    <col min="15" max="15" width="14.5703125" bestFit="1" customWidth="1"/>
  </cols>
  <sheetData>
    <row r="3" spans="2:18" ht="14.45" customHeight="1" x14ac:dyDescent="0.25">
      <c r="B3" s="374" t="s">
        <v>686</v>
      </c>
      <c r="C3" s="374"/>
      <c r="D3" s="374"/>
      <c r="E3" s="374"/>
      <c r="F3" s="374"/>
      <c r="G3" s="374"/>
      <c r="H3" s="374"/>
      <c r="I3" s="374"/>
      <c r="J3" s="374"/>
      <c r="K3" s="374"/>
      <c r="L3" s="374"/>
      <c r="N3" s="375" t="s">
        <v>694</v>
      </c>
      <c r="O3" s="376">
        <f>'AUX UF'!$M$5</f>
        <v>39674.876774193603</v>
      </c>
    </row>
    <row r="4" spans="2:18" ht="14.45" customHeight="1" x14ac:dyDescent="0.25">
      <c r="B4" s="377" t="s">
        <v>607</v>
      </c>
      <c r="C4" s="374"/>
      <c r="D4" s="374"/>
      <c r="E4" s="374"/>
      <c r="F4" s="374"/>
      <c r="G4" s="374"/>
      <c r="H4" s="374"/>
      <c r="I4" s="374"/>
      <c r="J4" s="374"/>
      <c r="K4" s="374"/>
      <c r="L4" s="374"/>
    </row>
    <row r="5" spans="2:18" ht="24" x14ac:dyDescent="0.25">
      <c r="B5" s="52" t="s">
        <v>135</v>
      </c>
      <c r="C5" s="62" t="s">
        <v>136</v>
      </c>
      <c r="D5" s="62" t="s">
        <v>137</v>
      </c>
      <c r="E5" s="40" t="s">
        <v>99</v>
      </c>
      <c r="F5" s="62" t="s">
        <v>138</v>
      </c>
      <c r="G5" s="62" t="s">
        <v>139</v>
      </c>
      <c r="H5" s="62" t="s">
        <v>140</v>
      </c>
      <c r="I5" s="62" t="s">
        <v>141</v>
      </c>
      <c r="J5" s="52" t="s">
        <v>100</v>
      </c>
      <c r="K5" s="40" t="s">
        <v>142</v>
      </c>
      <c r="L5" s="40" t="s">
        <v>143</v>
      </c>
      <c r="N5" s="52" t="s">
        <v>135</v>
      </c>
      <c r="O5" s="40" t="s">
        <v>630</v>
      </c>
      <c r="P5" s="40" t="s">
        <v>631</v>
      </c>
      <c r="Q5" s="448" t="s">
        <v>632</v>
      </c>
    </row>
    <row r="6" spans="2:18" x14ac:dyDescent="0.25">
      <c r="B6" s="30">
        <v>2008</v>
      </c>
      <c r="C6" s="28">
        <f>SUMIFS('AUX Gasto Mensual'!$AD:$AD,'AUX Gasto Mensual'!$Z:$Z,'AUX Gasto Real'!$B6)*$O$3</f>
        <v>133382.01941709613</v>
      </c>
      <c r="D6" s="28">
        <f>SUMIFS('AUX Gasto Mensual'!$AG:$AG,'AUX Gasto Mensual'!$Z:$Z,'AUX Gasto Real'!$B6)*$O$3</f>
        <v>285.22509804676326</v>
      </c>
      <c r="E6" s="28">
        <f>C6+D6</f>
        <v>133667.2445151429</v>
      </c>
      <c r="F6" s="28">
        <f>SUMIFS('AUX Gasto Mensual'!$AC:$AC,'AUX Gasto Mensual'!$Z:$Z,'AUX Gasto Real'!$B6)*$O$3</f>
        <v>231142.5019147385</v>
      </c>
      <c r="G6" s="28">
        <f>SUMIFS('AUX Gasto Mensual'!$AF:$AF,'AUX Gasto Mensual'!$Z:$Z,'AUX Gasto Real'!$B6)*$O$3</f>
        <v>2170.4224805449007</v>
      </c>
      <c r="H6" s="28">
        <f>SUMIFS('AUX Gasto Mensual'!$AH:$AH,'AUX Gasto Mensual'!$Z:$Z,'AUX Gasto Real'!$B6)*$O$3</f>
        <v>0</v>
      </c>
      <c r="I6" s="28">
        <f>SUMIFS('AUX Gasto Mensual'!$AE:$AE,'AUX Gasto Mensual'!$Z:$Z,'AUX Gasto Real'!$B6)*$O$3</f>
        <v>0</v>
      </c>
      <c r="J6" s="378">
        <f>SUM(F6:I6)</f>
        <v>233312.92439528339</v>
      </c>
      <c r="K6" s="378">
        <f>E6+J6</f>
        <v>366980.16891042632</v>
      </c>
      <c r="L6" s="379">
        <f>K6/('AUX PIB'!E5*'AUX Gasto Real'!$O$3)</f>
        <v>2.0130867473433628E-3</v>
      </c>
      <c r="N6" s="30">
        <v>2008</v>
      </c>
      <c r="O6" s="28">
        <f>SUMIFS('AUX Gasto Mensual'!$AJ:$AJ,'AUX Gasto Mensual'!$Z:$Z,'AUX Gasto Real'!$N6)*$O$3</f>
        <v>232764.85160759004</v>
      </c>
      <c r="P6" s="28">
        <f>SUMIFS('AUX Gasto Mensual'!$AK:$AK,'AUX Gasto Mensual'!$Z:$Z,'AUX Gasto Real'!$N6)*$O$3</f>
        <v>134215.31730283622</v>
      </c>
      <c r="Q6" s="449">
        <f>O6+P6</f>
        <v>366980.16891042626</v>
      </c>
      <c r="R6" s="69"/>
    </row>
    <row r="7" spans="2:18" x14ac:dyDescent="0.25">
      <c r="B7" s="30">
        <v>2009</v>
      </c>
      <c r="C7" s="28">
        <f>SUMIFS('AUX Gasto Mensual'!$AD:$AD,'AUX Gasto Mensual'!$Z:$Z,'AUX Gasto Real'!$B7)*$O$3</f>
        <v>337361.84598013829</v>
      </c>
      <c r="D7" s="28">
        <f>SUMIFS('AUX Gasto Mensual'!$AG:$AG,'AUX Gasto Mensual'!$Z:$Z,'AUX Gasto Real'!$B7)*$O$3</f>
        <v>8218.3536725750637</v>
      </c>
      <c r="E7" s="28">
        <f t="shared" ref="E7:E21" si="0">C7+D7</f>
        <v>345580.19965271337</v>
      </c>
      <c r="F7" s="28">
        <f>SUMIFS('AUX Gasto Mensual'!$AC:$AC,'AUX Gasto Mensual'!$Z:$Z,'AUX Gasto Real'!$B7)*$O$3</f>
        <v>598089.57000372466</v>
      </c>
      <c r="G7" s="28">
        <f>SUMIFS('AUX Gasto Mensual'!$AF:$AF,'AUX Gasto Mensual'!$Z:$Z,'AUX Gasto Real'!$B7)*$O$3</f>
        <v>50870.371412781795</v>
      </c>
      <c r="H7" s="28">
        <f>SUMIFS('AUX Gasto Mensual'!$AH:$AH,'AUX Gasto Mensual'!$Z:$Z,'AUX Gasto Real'!$B7)*$O$3</f>
        <v>0</v>
      </c>
      <c r="I7" s="28">
        <f>SUMIFS('AUX Gasto Mensual'!$AE:$AE,'AUX Gasto Mensual'!$Z:$Z,'AUX Gasto Real'!$B7)*$O$3</f>
        <v>0</v>
      </c>
      <c r="J7" s="378">
        <f t="shared" ref="J7:J21" si="1">SUM(F7:I7)</f>
        <v>648959.94141650642</v>
      </c>
      <c r="K7" s="378">
        <f t="shared" ref="K7:K21" si="2">E7+J7</f>
        <v>994540.1410692198</v>
      </c>
      <c r="L7" s="379">
        <f>K7/('AUX PIB'!E6*'AUX Gasto Real'!$O$3)</f>
        <v>5.4774924170145232E-3</v>
      </c>
      <c r="N7" s="30">
        <v>2009</v>
      </c>
      <c r="O7" s="28">
        <f>SUMIFS('AUX Gasto Mensual'!$AJ:$AJ,'AUX Gasto Mensual'!$Z:$Z,'AUX Gasto Real'!$N7)*$O$3</f>
        <v>646599.18934332242</v>
      </c>
      <c r="P7" s="28">
        <f>SUMIFS('AUX Gasto Mensual'!$AK:$AK,'AUX Gasto Mensual'!$Z:$Z,'AUX Gasto Real'!$N7)*$O$3</f>
        <v>347940.95172589732</v>
      </c>
      <c r="Q7" s="449">
        <f t="shared" ref="Q7:Q22" si="3">O7+P7</f>
        <v>994540.14106921968</v>
      </c>
      <c r="R7" s="69"/>
    </row>
    <row r="8" spans="2:18" x14ac:dyDescent="0.25">
      <c r="B8" s="30">
        <v>2010</v>
      </c>
      <c r="C8" s="28">
        <f>SUMIFS('AUX Gasto Mensual'!$AD:$AD,'AUX Gasto Mensual'!$Z:$Z,'AUX Gasto Real'!$B8)*$O$3</f>
        <v>380087.6734037791</v>
      </c>
      <c r="D8" s="28">
        <f>SUMIFS('AUX Gasto Mensual'!$AG:$AG,'AUX Gasto Mensual'!$Z:$Z,'AUX Gasto Real'!$B8)*$O$3</f>
        <v>25550.028392925604</v>
      </c>
      <c r="E8" s="28">
        <f t="shared" si="0"/>
        <v>405637.70179670473</v>
      </c>
      <c r="F8" s="28">
        <f>SUMIFS('AUX Gasto Mensual'!$AC:$AC,'AUX Gasto Mensual'!$Z:$Z,'AUX Gasto Real'!$B8)*$O$3</f>
        <v>696063.6936675926</v>
      </c>
      <c r="G8" s="28">
        <f>SUMIFS('AUX Gasto Mensual'!$AF:$AF,'AUX Gasto Mensual'!$Z:$Z,'AUX Gasto Real'!$B8)*$O$3</f>
        <v>219391.09592730633</v>
      </c>
      <c r="H8" s="28">
        <f>SUMIFS('AUX Gasto Mensual'!$AH:$AH,'AUX Gasto Mensual'!$Z:$Z,'AUX Gasto Real'!$B8)*$O$3</f>
        <v>0</v>
      </c>
      <c r="I8" s="28">
        <f>SUMIFS('AUX Gasto Mensual'!$AE:$AE,'AUX Gasto Mensual'!$Z:$Z,'AUX Gasto Real'!$B8)*$O$3</f>
        <v>0</v>
      </c>
      <c r="J8" s="378">
        <f t="shared" si="1"/>
        <v>915454.78959489893</v>
      </c>
      <c r="K8" s="378">
        <f t="shared" si="2"/>
        <v>1321092.4913916036</v>
      </c>
      <c r="L8" s="379">
        <f>K8/('AUX PIB'!E7*'AUX Gasto Real'!$O$3)</f>
        <v>6.3638857369463205E-3</v>
      </c>
      <c r="N8" s="30">
        <v>2010</v>
      </c>
      <c r="O8" s="28">
        <f>SUMIFS('AUX Gasto Mensual'!$AJ:$AJ,'AUX Gasto Mensual'!$Z:$Z,'AUX Gasto Real'!$N8)*$O$3</f>
        <v>855685.88657766103</v>
      </c>
      <c r="P8" s="28">
        <f>SUMIFS('AUX Gasto Mensual'!$AK:$AK,'AUX Gasto Mensual'!$Z:$Z,'AUX Gasto Real'!$N8)*$O$3</f>
        <v>465406.60481394257</v>
      </c>
      <c r="Q8" s="449">
        <f t="shared" si="3"/>
        <v>1321092.4913916036</v>
      </c>
      <c r="R8" s="69"/>
    </row>
    <row r="9" spans="2:18" x14ac:dyDescent="0.25">
      <c r="B9" s="30">
        <v>2011</v>
      </c>
      <c r="C9" s="28">
        <f>SUMIFS('AUX Gasto Mensual'!$AD:$AD,'AUX Gasto Mensual'!$Z:$Z,'AUX Gasto Real'!$B9)*$O$3</f>
        <v>371864.34508128476</v>
      </c>
      <c r="D9" s="28">
        <f>SUMIFS('AUX Gasto Mensual'!$AG:$AG,'AUX Gasto Mensual'!$Z:$Z,'AUX Gasto Real'!$B9)*$O$3</f>
        <v>39843.459823671517</v>
      </c>
      <c r="E9" s="28">
        <f t="shared" si="0"/>
        <v>411707.80490495625</v>
      </c>
      <c r="F9" s="28">
        <f>SUMIFS('AUX Gasto Mensual'!$AC:$AC,'AUX Gasto Mensual'!$Z:$Z,'AUX Gasto Real'!$B9)*$O$3</f>
        <v>694053.52594175783</v>
      </c>
      <c r="G9" s="28">
        <f>SUMIFS('AUX Gasto Mensual'!$AF:$AF,'AUX Gasto Mensual'!$Z:$Z,'AUX Gasto Real'!$B9)*$O$3</f>
        <v>379592.90564756282</v>
      </c>
      <c r="H9" s="28">
        <f>SUMIFS('AUX Gasto Mensual'!$AH:$AH,'AUX Gasto Mensual'!$Z:$Z,'AUX Gasto Real'!$B9)*$O$3</f>
        <v>0</v>
      </c>
      <c r="I9" s="28">
        <f>SUMIFS('AUX Gasto Mensual'!$AE:$AE,'AUX Gasto Mensual'!$Z:$Z,'AUX Gasto Real'!$B9)*$O$3</f>
        <v>0</v>
      </c>
      <c r="J9" s="378">
        <f t="shared" si="1"/>
        <v>1073646.4315893208</v>
      </c>
      <c r="K9" s="378">
        <f t="shared" si="2"/>
        <v>1485354.2364942771</v>
      </c>
      <c r="L9" s="379">
        <f>K9/('AUX PIB'!E8*'AUX Gasto Real'!$O$3)</f>
        <v>6.7310747730596841E-3</v>
      </c>
      <c r="N9" s="30">
        <v>2011</v>
      </c>
      <c r="O9" s="28">
        <f>SUMIFS('AUX Gasto Mensual'!$AJ:$AJ,'AUX Gasto Mensual'!$Z:$Z,'AUX Gasto Real'!$N9)*$O$3</f>
        <v>951281.97912898706</v>
      </c>
      <c r="P9" s="28">
        <f>SUMIFS('AUX Gasto Mensual'!$AK:$AK,'AUX Gasto Mensual'!$Z:$Z,'AUX Gasto Real'!$N9)*$O$3</f>
        <v>534072.25736528984</v>
      </c>
      <c r="Q9" s="449">
        <f t="shared" si="3"/>
        <v>1485354.2364942769</v>
      </c>
      <c r="R9" s="69"/>
    </row>
    <row r="10" spans="2:18" x14ac:dyDescent="0.25">
      <c r="B10" s="30">
        <v>2012</v>
      </c>
      <c r="C10" s="28">
        <f>SUMIFS('AUX Gasto Mensual'!$AD:$AD,'AUX Gasto Mensual'!$Z:$Z,'AUX Gasto Real'!$B10)*$O$3</f>
        <v>354300.08982050134</v>
      </c>
      <c r="D10" s="28">
        <f>SUMIFS('AUX Gasto Mensual'!$AG:$AG,'AUX Gasto Mensual'!$Z:$Z,'AUX Gasto Real'!$B10)*$O$3</f>
        <v>57627.258358684485</v>
      </c>
      <c r="E10" s="28">
        <f t="shared" si="0"/>
        <v>411927.34817918582</v>
      </c>
      <c r="F10" s="28">
        <f>SUMIFS('AUX Gasto Mensual'!$AC:$AC,'AUX Gasto Mensual'!$Z:$Z,'AUX Gasto Real'!$B10)*$O$3</f>
        <v>689332.99556175852</v>
      </c>
      <c r="G10" s="28">
        <f>SUMIFS('AUX Gasto Mensual'!$AF:$AF,'AUX Gasto Mensual'!$Z:$Z,'AUX Gasto Real'!$B10)*$O$3</f>
        <v>494261.44185574318</v>
      </c>
      <c r="H10" s="28">
        <f>SUMIFS('AUX Gasto Mensual'!$AH:$AH,'AUX Gasto Mensual'!$Z:$Z,'AUX Gasto Real'!$B10)*$O$3</f>
        <v>0</v>
      </c>
      <c r="I10" s="28">
        <f>SUMIFS('AUX Gasto Mensual'!$AE:$AE,'AUX Gasto Mensual'!$Z:$Z,'AUX Gasto Real'!$B10)*$O$3</f>
        <v>0</v>
      </c>
      <c r="J10" s="378">
        <f t="shared" si="1"/>
        <v>1183594.4374175016</v>
      </c>
      <c r="K10" s="378">
        <f t="shared" si="2"/>
        <v>1595521.7855966873</v>
      </c>
      <c r="L10" s="379">
        <f>K10/('AUX PIB'!E9*'AUX Gasto Real'!$O$3)</f>
        <v>6.992282925833238E-3</v>
      </c>
      <c r="N10" s="30">
        <v>2012</v>
      </c>
      <c r="O10" s="28">
        <f>SUMIFS('AUX Gasto Mensual'!$AJ:$AJ,'AUX Gasto Mensual'!$Z:$Z,'AUX Gasto Real'!$N10)*$O$3</f>
        <v>1016272.4704201104</v>
      </c>
      <c r="P10" s="28">
        <f>SUMIFS('AUX Gasto Mensual'!$AK:$AK,'AUX Gasto Mensual'!$Z:$Z,'AUX Gasto Real'!$N10)*$O$3</f>
        <v>579249.31517657719</v>
      </c>
      <c r="Q10" s="449">
        <f t="shared" si="3"/>
        <v>1595521.7855966876</v>
      </c>
      <c r="R10" s="69"/>
    </row>
    <row r="11" spans="2:18" x14ac:dyDescent="0.25">
      <c r="B11" s="30">
        <v>2013</v>
      </c>
      <c r="C11" s="28">
        <f>SUMIFS('AUX Gasto Mensual'!$AD:$AD,'AUX Gasto Mensual'!$Z:$Z,'AUX Gasto Real'!$B11)*$O$3</f>
        <v>331856.25672827614</v>
      </c>
      <c r="D11" s="28">
        <f>SUMIFS('AUX Gasto Mensual'!$AG:$AG,'AUX Gasto Mensual'!$Z:$Z,'AUX Gasto Real'!$B11)*$O$3</f>
        <v>78647.009661106786</v>
      </c>
      <c r="E11" s="28">
        <f t="shared" si="0"/>
        <v>410503.26638938294</v>
      </c>
      <c r="F11" s="28">
        <f>SUMIFS('AUX Gasto Mensual'!$AC:$AC,'AUX Gasto Mensual'!$Z:$Z,'AUX Gasto Real'!$B11)*$O$3</f>
        <v>687105.46907641599</v>
      </c>
      <c r="G11" s="28">
        <f>SUMIFS('AUX Gasto Mensual'!$AF:$AF,'AUX Gasto Mensual'!$Z:$Z,'AUX Gasto Real'!$B11)*$O$3</f>
        <v>566853.69054803613</v>
      </c>
      <c r="H11" s="28">
        <f>SUMIFS('AUX Gasto Mensual'!$AH:$AH,'AUX Gasto Mensual'!$Z:$Z,'AUX Gasto Real'!$B11)*$O$3</f>
        <v>0</v>
      </c>
      <c r="I11" s="28">
        <f>SUMIFS('AUX Gasto Mensual'!$AE:$AE,'AUX Gasto Mensual'!$Z:$Z,'AUX Gasto Real'!$B11)*$O$3</f>
        <v>0</v>
      </c>
      <c r="J11" s="378">
        <f t="shared" si="1"/>
        <v>1253959.1596244522</v>
      </c>
      <c r="K11" s="378">
        <f t="shared" si="2"/>
        <v>1664462.4260138352</v>
      </c>
      <c r="L11" s="379">
        <f>K11/('AUX PIB'!E10*'AUX Gasto Real'!$O$3)</f>
        <v>7.0214338774907594E-3</v>
      </c>
      <c r="N11" s="30">
        <v>2013</v>
      </c>
      <c r="O11" s="28">
        <f>SUMIFS('AUX Gasto Mensual'!$AJ:$AJ,'AUX Gasto Mensual'!$Z:$Z,'AUX Gasto Real'!$N11)*$O$3</f>
        <v>1058413.6159045964</v>
      </c>
      <c r="P11" s="28">
        <f>SUMIFS('AUX Gasto Mensual'!$AK:$AK,'AUX Gasto Mensual'!$Z:$Z,'AUX Gasto Real'!$N11)*$O$3</f>
        <v>606048.81010923872</v>
      </c>
      <c r="Q11" s="449">
        <f t="shared" si="3"/>
        <v>1664462.4260138352</v>
      </c>
      <c r="R11" s="69"/>
    </row>
    <row r="12" spans="2:18" x14ac:dyDescent="0.25">
      <c r="B12" s="30">
        <v>2014</v>
      </c>
      <c r="C12" s="28">
        <f>SUMIFS('AUX Gasto Mensual'!$AD:$AD,'AUX Gasto Mensual'!$Z:$Z,'AUX Gasto Real'!$B12)*$O$3</f>
        <v>312170.07980282494</v>
      </c>
      <c r="D12" s="28">
        <f>SUMIFS('AUX Gasto Mensual'!$AG:$AG,'AUX Gasto Mensual'!$Z:$Z,'AUX Gasto Real'!$B12)*$O$3</f>
        <v>97868.764840738149</v>
      </c>
      <c r="E12" s="28">
        <f t="shared" si="0"/>
        <v>410038.84464356309</v>
      </c>
      <c r="F12" s="28">
        <f>SUMIFS('AUX Gasto Mensual'!$AC:$AC,'AUX Gasto Mensual'!$Z:$Z,'AUX Gasto Real'!$B12)*$O$3</f>
        <v>674886.04031771072</v>
      </c>
      <c r="G12" s="28">
        <f>SUMIFS('AUX Gasto Mensual'!$AF:$AF,'AUX Gasto Mensual'!$Z:$Z,'AUX Gasto Real'!$B12)*$O$3</f>
        <v>625019.38206509419</v>
      </c>
      <c r="H12" s="28">
        <f>SUMIFS('AUX Gasto Mensual'!$AH:$AH,'AUX Gasto Mensual'!$Z:$Z,'AUX Gasto Real'!$B12)*$O$3</f>
        <v>0</v>
      </c>
      <c r="I12" s="28">
        <f>SUMIFS('AUX Gasto Mensual'!$AE:$AE,'AUX Gasto Mensual'!$Z:$Z,'AUX Gasto Real'!$B12)*$O$3</f>
        <v>0</v>
      </c>
      <c r="J12" s="378">
        <f t="shared" si="1"/>
        <v>1299905.422382805</v>
      </c>
      <c r="K12" s="378">
        <f t="shared" si="2"/>
        <v>1709944.2670263681</v>
      </c>
      <c r="L12" s="379">
        <f>K12/('AUX PIB'!E11*'AUX Gasto Real'!$O$3)</f>
        <v>6.979837809028837E-3</v>
      </c>
      <c r="N12" s="30">
        <v>2014</v>
      </c>
      <c r="O12" s="28">
        <f>SUMIFS('AUX Gasto Mensual'!$AJ:$AJ,'AUX Gasto Mensual'!$Z:$Z,'AUX Gasto Real'!$N12)*$O$3</f>
        <v>1086757.1566978367</v>
      </c>
      <c r="P12" s="28">
        <f>SUMIFS('AUX Gasto Mensual'!$AK:$AK,'AUX Gasto Mensual'!$Z:$Z,'AUX Gasto Real'!$N12)*$O$3</f>
        <v>623187.11032853113</v>
      </c>
      <c r="Q12" s="449">
        <f t="shared" si="3"/>
        <v>1709944.2670263678</v>
      </c>
      <c r="R12" s="69"/>
    </row>
    <row r="13" spans="2:18" x14ac:dyDescent="0.25">
      <c r="B13" s="30">
        <v>2015</v>
      </c>
      <c r="C13" s="28">
        <f>SUMIFS('AUX Gasto Mensual'!$AD:$AD,'AUX Gasto Mensual'!$Z:$Z,'AUX Gasto Real'!$B13)*$O$3</f>
        <v>308353.56946310587</v>
      </c>
      <c r="D13" s="28">
        <f>SUMIFS('AUX Gasto Mensual'!$AG:$AG,'AUX Gasto Mensual'!$Z:$Z,'AUX Gasto Real'!$B13)*$O$3</f>
        <v>103510.27496004474</v>
      </c>
      <c r="E13" s="28">
        <f t="shared" si="0"/>
        <v>411863.84442315064</v>
      </c>
      <c r="F13" s="28">
        <f>SUMIFS('AUX Gasto Mensual'!$AC:$AC,'AUX Gasto Mensual'!$Z:$Z,'AUX Gasto Real'!$B13)*$O$3</f>
        <v>672710.39242733293</v>
      </c>
      <c r="G13" s="28">
        <f>SUMIFS('AUX Gasto Mensual'!$AF:$AF,'AUX Gasto Mensual'!$Z:$Z,'AUX Gasto Real'!$B13)*$O$3</f>
        <v>693600.58664647723</v>
      </c>
      <c r="H13" s="28">
        <f>SUMIFS('AUX Gasto Mensual'!$AH:$AH,'AUX Gasto Mensual'!$Z:$Z,'AUX Gasto Real'!$B13)*$O$3</f>
        <v>0</v>
      </c>
      <c r="I13" s="28">
        <f>SUMIFS('AUX Gasto Mensual'!$AE:$AE,'AUX Gasto Mensual'!$Z:$Z,'AUX Gasto Real'!$B13)*$O$3</f>
        <v>0</v>
      </c>
      <c r="J13" s="378">
        <f t="shared" si="1"/>
        <v>1366310.9790738102</v>
      </c>
      <c r="K13" s="378">
        <f t="shared" si="2"/>
        <v>1778174.8234969608</v>
      </c>
      <c r="L13" s="379">
        <f>K13/('AUX PIB'!E12*'AUX Gasto Real'!$O$3)</f>
        <v>7.0699270574187479E-3</v>
      </c>
      <c r="N13" s="30">
        <v>2015</v>
      </c>
      <c r="O13" s="28">
        <f>SUMIFS('AUX Gasto Mensual'!$AJ:$AJ,'AUX Gasto Mensual'!$Z:$Z,'AUX Gasto Real'!$N13)*$O$3</f>
        <v>1126551.0324315918</v>
      </c>
      <c r="P13" s="28">
        <f>SUMIFS('AUX Gasto Mensual'!$AK:$AK,'AUX Gasto Mensual'!$Z:$Z,'AUX Gasto Real'!$N13)*$O$3</f>
        <v>651623.79106536915</v>
      </c>
      <c r="Q13" s="449">
        <f t="shared" si="3"/>
        <v>1778174.823496961</v>
      </c>
      <c r="R13" s="69"/>
    </row>
    <row r="14" spans="2:18" x14ac:dyDescent="0.25">
      <c r="B14" s="30">
        <v>2016</v>
      </c>
      <c r="C14" s="28">
        <f>SUMIFS('AUX Gasto Mensual'!$AD:$AD,'AUX Gasto Mensual'!$Z:$Z,'AUX Gasto Real'!$B14)*$O$3</f>
        <v>312004.60404871509</v>
      </c>
      <c r="D14" s="28">
        <f>SUMIFS('AUX Gasto Mensual'!$AG:$AG,'AUX Gasto Mensual'!$Z:$Z,'AUX Gasto Real'!$B14)*$O$3</f>
        <v>103574.12468646867</v>
      </c>
      <c r="E14" s="28">
        <f t="shared" si="0"/>
        <v>415578.72873518377</v>
      </c>
      <c r="F14" s="28">
        <f>SUMIFS('AUX Gasto Mensual'!$AC:$AC,'AUX Gasto Mensual'!$Z:$Z,'AUX Gasto Real'!$B14)*$O$3</f>
        <v>674112.64967612387</v>
      </c>
      <c r="G14" s="28">
        <f>SUMIFS('AUX Gasto Mensual'!$AF:$AF,'AUX Gasto Mensual'!$Z:$Z,'AUX Gasto Real'!$B14)*$O$3</f>
        <v>754621.11882110825</v>
      </c>
      <c r="H14" s="28">
        <f>SUMIFS('AUX Gasto Mensual'!$AH:$AH,'AUX Gasto Mensual'!$Z:$Z,'AUX Gasto Real'!$B14)*$O$3</f>
        <v>0</v>
      </c>
      <c r="I14" s="28">
        <f>SUMIFS('AUX Gasto Mensual'!$AE:$AE,'AUX Gasto Mensual'!$Z:$Z,'AUX Gasto Real'!$B14)*$O$3</f>
        <v>0</v>
      </c>
      <c r="J14" s="378">
        <f t="shared" si="1"/>
        <v>1428733.7684972321</v>
      </c>
      <c r="K14" s="378">
        <f t="shared" si="2"/>
        <v>1844312.4972324159</v>
      </c>
      <c r="L14" s="379">
        <f>K14/('AUX PIB'!E13*'AUX Gasto Real'!$O$3)</f>
        <v>7.1678560609699767E-3</v>
      </c>
      <c r="N14" s="30">
        <v>2016</v>
      </c>
      <c r="O14" s="28">
        <f>SUMIFS('AUX Gasto Mensual'!$AJ:$AJ,'AUX Gasto Mensual'!$Z:$Z,'AUX Gasto Real'!$N14)*$O$3</f>
        <v>1167894.1403436917</v>
      </c>
      <c r="P14" s="28">
        <f>SUMIFS('AUX Gasto Mensual'!$AK:$AK,'AUX Gasto Mensual'!$Z:$Z,'AUX Gasto Real'!$N14)*$O$3</f>
        <v>676418.35688872414</v>
      </c>
      <c r="Q14" s="449">
        <f t="shared" si="3"/>
        <v>1844312.4972324157</v>
      </c>
      <c r="R14" s="69"/>
    </row>
    <row r="15" spans="2:18" x14ac:dyDescent="0.25">
      <c r="B15" s="30">
        <v>2017</v>
      </c>
      <c r="C15" s="28">
        <f>SUMIFS('AUX Gasto Mensual'!$AD:$AD,'AUX Gasto Mensual'!$Z:$Z,'AUX Gasto Real'!$B15)*$O$3</f>
        <v>346454.44614435203</v>
      </c>
      <c r="D15" s="28">
        <f>SUMIFS('AUX Gasto Mensual'!$AG:$AG,'AUX Gasto Mensual'!$Z:$Z,'AUX Gasto Real'!$B15)*$O$3</f>
        <v>114638.61588031672</v>
      </c>
      <c r="E15" s="28">
        <f t="shared" si="0"/>
        <v>461093.06202466873</v>
      </c>
      <c r="F15" s="28">
        <f>SUMIFS('AUX Gasto Mensual'!$AC:$AC,'AUX Gasto Mensual'!$Z:$Z,'AUX Gasto Real'!$B15)*$O$3</f>
        <v>748454.16607907135</v>
      </c>
      <c r="G15" s="28">
        <f>SUMIFS('AUX Gasto Mensual'!$AF:$AF,'AUX Gasto Mensual'!$Z:$Z,'AUX Gasto Real'!$B15)*$O$3</f>
        <v>897808.41625939368</v>
      </c>
      <c r="H15" s="28">
        <f>SUMIFS('AUX Gasto Mensual'!$AH:$AH,'AUX Gasto Mensual'!$Z:$Z,'AUX Gasto Real'!$B15)*$O$3</f>
        <v>0</v>
      </c>
      <c r="I15" s="28">
        <f>SUMIFS('AUX Gasto Mensual'!$AE:$AE,'AUX Gasto Mensual'!$Z:$Z,'AUX Gasto Real'!$B15)*$O$3</f>
        <v>0</v>
      </c>
      <c r="J15" s="378">
        <f t="shared" si="1"/>
        <v>1646262.5823384649</v>
      </c>
      <c r="K15" s="378">
        <f t="shared" si="2"/>
        <v>2107355.6443631337</v>
      </c>
      <c r="L15" s="379">
        <f>K15/('AUX PIB'!E14*'AUX Gasto Real'!$O$3)</f>
        <v>7.8709813163413793E-3</v>
      </c>
      <c r="N15" s="30">
        <v>2017</v>
      </c>
      <c r="O15" s="28">
        <f>SUMIFS('AUX Gasto Mensual'!$AJ:$AJ,'AUX Gasto Mensual'!$Z:$Z,'AUX Gasto Real'!$N15)*$O$3</f>
        <v>1334101.4495605722</v>
      </c>
      <c r="P15" s="28">
        <f>SUMIFS('AUX Gasto Mensual'!$AK:$AK,'AUX Gasto Mensual'!$Z:$Z,'AUX Gasto Real'!$N15)*$O$3</f>
        <v>773254.19480256154</v>
      </c>
      <c r="Q15" s="449">
        <f t="shared" si="3"/>
        <v>2107355.6443631337</v>
      </c>
      <c r="R15" s="69"/>
    </row>
    <row r="16" spans="2:18" x14ac:dyDescent="0.25">
      <c r="B16" s="30">
        <v>2018</v>
      </c>
      <c r="C16" s="28">
        <f>SUMIFS('AUX Gasto Mensual'!$AD:$AD,'AUX Gasto Mensual'!$Z:$Z,'AUX Gasto Real'!$B16)*$O$3</f>
        <v>347296.80058811576</v>
      </c>
      <c r="D16" s="28">
        <f>SUMIFS('AUX Gasto Mensual'!$AG:$AG,'AUX Gasto Mensual'!$Z:$Z,'AUX Gasto Real'!$B16)*$O$3</f>
        <v>116562.04651260341</v>
      </c>
      <c r="E16" s="28">
        <f t="shared" si="0"/>
        <v>463858.84710071917</v>
      </c>
      <c r="F16" s="28">
        <f>SUMIFS('AUX Gasto Mensual'!$AC:$AC,'AUX Gasto Mensual'!$Z:$Z,'AUX Gasto Real'!$B16)*$O$3</f>
        <v>753124.72692686669</v>
      </c>
      <c r="G16" s="28">
        <f>SUMIFS('AUX Gasto Mensual'!$AF:$AF,'AUX Gasto Mensual'!$Z:$Z,'AUX Gasto Real'!$B16)*$O$3</f>
        <v>998823.40098991024</v>
      </c>
      <c r="H16" s="28">
        <f>SUMIFS('AUX Gasto Mensual'!$AH:$AH,'AUX Gasto Mensual'!$Z:$Z,'AUX Gasto Real'!$B16)*$O$3</f>
        <v>0</v>
      </c>
      <c r="I16" s="28">
        <f>SUMIFS('AUX Gasto Mensual'!$AE:$AE,'AUX Gasto Mensual'!$Z:$Z,'AUX Gasto Real'!$B16)*$O$3</f>
        <v>0</v>
      </c>
      <c r="J16" s="378">
        <f t="shared" si="1"/>
        <v>1751948.127916777</v>
      </c>
      <c r="K16" s="378">
        <f t="shared" si="2"/>
        <v>2215806.9750174964</v>
      </c>
      <c r="L16" s="379">
        <f>K16/('AUX PIB'!E15*'AUX Gasto Real'!$O$3)</f>
        <v>8.0089957052014386E-3</v>
      </c>
      <c r="N16" s="30">
        <v>2018</v>
      </c>
      <c r="O16" s="28">
        <f>SUMIFS('AUX Gasto Mensual'!$AJ:$AJ,'AUX Gasto Mensual'!$Z:$Z,'AUX Gasto Real'!$N16)*$O$3</f>
        <v>1401117.7558931785</v>
      </c>
      <c r="P16" s="28">
        <f>SUMIFS('AUX Gasto Mensual'!$AK:$AK,'AUX Gasto Mensual'!$Z:$Z,'AUX Gasto Real'!$N16)*$O$3</f>
        <v>814689.2191243174</v>
      </c>
      <c r="Q16" s="449">
        <f t="shared" si="3"/>
        <v>2215806.9750174959</v>
      </c>
      <c r="R16" s="69"/>
    </row>
    <row r="17" spans="2:18" x14ac:dyDescent="0.25">
      <c r="B17" s="30">
        <v>2019</v>
      </c>
      <c r="C17" s="28">
        <f>SUMIFS('AUX Gasto Mensual'!$AD:$AD,'AUX Gasto Mensual'!$Z:$Z,'AUX Gasto Real'!$B17)*$O$3</f>
        <v>353172.17795108474</v>
      </c>
      <c r="D17" s="28">
        <f>SUMIFS('AUX Gasto Mensual'!$AG:$AG,'AUX Gasto Mensual'!$Z:$Z,'AUX Gasto Real'!$B17)*$O$3</f>
        <v>122110.33560625042</v>
      </c>
      <c r="E17" s="28">
        <f t="shared" si="0"/>
        <v>475282.51355733513</v>
      </c>
      <c r="F17" s="28">
        <f>SUMIFS('AUX Gasto Mensual'!$AC:$AC,'AUX Gasto Mensual'!$Z:$Z,'AUX Gasto Real'!$B17)*$O$3</f>
        <v>779677.63708323252</v>
      </c>
      <c r="G17" s="28">
        <f>SUMIFS('AUX Gasto Mensual'!$AF:$AF,'AUX Gasto Mensual'!$Z:$Z,'AUX Gasto Real'!$B17)*$O$3</f>
        <v>1150743.5595056231</v>
      </c>
      <c r="H17" s="28">
        <f>SUMIFS('AUX Gasto Mensual'!$AH:$AH,'AUX Gasto Mensual'!$Z:$Z,'AUX Gasto Real'!$B17)*$O$3</f>
        <v>0</v>
      </c>
      <c r="I17" s="28">
        <f>SUMIFS('AUX Gasto Mensual'!$AE:$AE,'AUX Gasto Mensual'!$Z:$Z,'AUX Gasto Real'!$B17)*$O$3</f>
        <v>0</v>
      </c>
      <c r="J17" s="378">
        <f t="shared" si="1"/>
        <v>1930421.1965888557</v>
      </c>
      <c r="K17" s="378">
        <f t="shared" si="2"/>
        <v>2405703.7101461906</v>
      </c>
      <c r="L17" s="379">
        <f>K17/('AUX PIB'!E16*'AUX Gasto Real'!$O$3)</f>
        <v>8.637797261648119E-3</v>
      </c>
      <c r="N17" s="30">
        <v>2019</v>
      </c>
      <c r="O17" s="28">
        <f>SUMIFS('AUX Gasto Mensual'!$AJ:$AJ,'AUX Gasto Mensual'!$Z:$Z,'AUX Gasto Real'!$N17)*$O$3</f>
        <v>1519078.7994277063</v>
      </c>
      <c r="P17" s="28">
        <f>SUMIFS('AUX Gasto Mensual'!$AK:$AK,'AUX Gasto Mensual'!$Z:$Z,'AUX Gasto Real'!$N17)*$O$3</f>
        <v>886624.91071848455</v>
      </c>
      <c r="Q17" s="449">
        <f t="shared" si="3"/>
        <v>2405703.7101461906</v>
      </c>
      <c r="R17" s="69"/>
    </row>
    <row r="18" spans="2:18" x14ac:dyDescent="0.25">
      <c r="B18" s="30">
        <v>2020</v>
      </c>
      <c r="C18" s="28">
        <f>SUMIFS('AUX Gasto Mensual'!$AD:$AD,'AUX Gasto Mensual'!$Z:$Z,'AUX Gasto Real'!$B18)*$O$3</f>
        <v>422937.60520481807</v>
      </c>
      <c r="D18" s="28">
        <f>SUMIFS('AUX Gasto Mensual'!$AG:$AG,'AUX Gasto Mensual'!$Z:$Z,'AUX Gasto Real'!$B18)*$O$3</f>
        <v>153174.39207531128</v>
      </c>
      <c r="E18" s="28">
        <f t="shared" si="0"/>
        <v>576111.99728012935</v>
      </c>
      <c r="F18" s="28">
        <f>SUMIFS('AUX Gasto Mensual'!$AC:$AC,'AUX Gasto Mensual'!$Z:$Z,'AUX Gasto Real'!$B18)*$O$3</f>
        <v>1006310.3904587815</v>
      </c>
      <c r="G18" s="28">
        <f>SUMIFS('AUX Gasto Mensual'!$AF:$AF,'AUX Gasto Mensual'!$Z:$Z,'AUX Gasto Real'!$B18)*$O$3</f>
        <v>1791796.6007255632</v>
      </c>
      <c r="H18" s="28">
        <f>SUMIFS('AUX Gasto Mensual'!$AH:$AH,'AUX Gasto Mensual'!$Z:$Z,'AUX Gasto Real'!$B18)*$O$3</f>
        <v>3.9884498943779243</v>
      </c>
      <c r="I18" s="28">
        <f>SUMIFS('AUX Gasto Mensual'!$AE:$AE,'AUX Gasto Mensual'!$Z:$Z,'AUX Gasto Real'!$B18)*$O$3</f>
        <v>0</v>
      </c>
      <c r="J18" s="378">
        <f t="shared" si="1"/>
        <v>2798110.9796342389</v>
      </c>
      <c r="K18" s="378">
        <f t="shared" si="2"/>
        <v>3374222.9769143681</v>
      </c>
      <c r="L18" s="379">
        <f>K18/('AUX PIB'!E17*'AUX Gasto Real'!$O$3)</f>
        <v>1.2118999945376043E-2</v>
      </c>
      <c r="N18" s="30">
        <v>2020</v>
      </c>
      <c r="O18" s="28">
        <f>SUMIFS('AUX Gasto Mensual'!$AJ:$AJ,'AUX Gasto Mensual'!$Z:$Z,'AUX Gasto Real'!$N18)*$O$3</f>
        <v>2127477.6385192331</v>
      </c>
      <c r="P18" s="28">
        <f>SUMIFS('AUX Gasto Mensual'!$AK:$AK,'AUX Gasto Mensual'!$Z:$Z,'AUX Gasto Real'!$N18)*$O$3</f>
        <v>1246745.3383951357</v>
      </c>
      <c r="Q18" s="449">
        <f t="shared" si="3"/>
        <v>3374222.9769143686</v>
      </c>
      <c r="R18" s="69"/>
    </row>
    <row r="19" spans="2:18" x14ac:dyDescent="0.25">
      <c r="B19" s="30">
        <v>2021</v>
      </c>
      <c r="C19" s="28">
        <f>SUMIFS('AUX Gasto Mensual'!$AD:$AD,'AUX Gasto Mensual'!$Z:$Z,'AUX Gasto Real'!$B19)*$O$3</f>
        <v>466810.67066154012</v>
      </c>
      <c r="D19" s="28">
        <f>SUMIFS('AUX Gasto Mensual'!$AG:$AG,'AUX Gasto Mensual'!$Z:$Z,'AUX Gasto Real'!$B19)*$O$3</f>
        <v>181647.10358225534</v>
      </c>
      <c r="E19" s="28">
        <f t="shared" si="0"/>
        <v>648457.77424379543</v>
      </c>
      <c r="F19" s="28">
        <f>SUMIFS('AUX Gasto Mensual'!$AC:$AC,'AUX Gasto Mensual'!$Z:$Z,'AUX Gasto Real'!$B19)*$O$3</f>
        <v>1092602.053063127</v>
      </c>
      <c r="G19" s="28">
        <f>SUMIFS('AUX Gasto Mensual'!$AF:$AF,'AUX Gasto Mensual'!$Z:$Z,'AUX Gasto Real'!$B19)*$O$3</f>
        <v>2222252.8379773414</v>
      </c>
      <c r="H19" s="28">
        <f>SUMIFS('AUX Gasto Mensual'!$AH:$AH,'AUX Gasto Mensual'!$Z:$Z,'AUX Gasto Real'!$B19)*$O$3</f>
        <v>11.230541936543176</v>
      </c>
      <c r="I19" s="28">
        <f>SUMIFS('AUX Gasto Mensual'!$AE:$AE,'AUX Gasto Mensual'!$Z:$Z,'AUX Gasto Real'!$B19)*$O$3</f>
        <v>0</v>
      </c>
      <c r="J19" s="378">
        <f t="shared" si="1"/>
        <v>3314866.1215824052</v>
      </c>
      <c r="K19" s="378">
        <f t="shared" si="2"/>
        <v>3963323.8958262005</v>
      </c>
      <c r="L19" s="379">
        <f>K19/('AUX PIB'!E18*'AUX Gasto Real'!$O$3)</f>
        <v>1.2435004366642983E-2</v>
      </c>
      <c r="N19" s="30">
        <v>2021</v>
      </c>
      <c r="O19" s="28">
        <f>SUMIFS('AUX Gasto Mensual'!$AJ:$AJ,'AUX Gasto Mensual'!$Z:$Z,'AUX Gasto Real'!$N19)*$O$3</f>
        <v>2487138.9170800345</v>
      </c>
      <c r="P19" s="28">
        <f>SUMIFS('AUX Gasto Mensual'!$AK:$AK,'AUX Gasto Mensual'!$Z:$Z,'AUX Gasto Real'!$N19)*$O$3</f>
        <v>1476184.9787461658</v>
      </c>
      <c r="Q19" s="449">
        <f t="shared" si="3"/>
        <v>3963323.8958262</v>
      </c>
      <c r="R19" s="69"/>
    </row>
    <row r="20" spans="2:18" x14ac:dyDescent="0.25">
      <c r="B20" s="30">
        <v>2022</v>
      </c>
      <c r="C20" s="28">
        <f>SUMIFS('AUX Gasto Mensual'!$AD:$AD,'AUX Gasto Mensual'!$Z:$Z,'AUX Gasto Real'!$B20)*$O$3</f>
        <v>500736.75302038208</v>
      </c>
      <c r="D20" s="28">
        <f>SUMIFS('AUX Gasto Mensual'!$AG:$AG,'AUX Gasto Mensual'!$Z:$Z,'AUX Gasto Real'!$B20)*$O$3</f>
        <v>208718.6282944252</v>
      </c>
      <c r="E20" s="28">
        <f t="shared" si="0"/>
        <v>709455.38131480734</v>
      </c>
      <c r="F20" s="380">
        <f>SUMIFS('AUX Gasto Mensual'!$AC:$AC,'AUX Gasto Mensual'!$Z:$Z,'AUX Gasto Real'!$B20,'AUX Gasto Mensual'!$AA:$AA,'AUX Gasto Mensual'!$AA$169)*$O$3</f>
        <v>93089.93918399181</v>
      </c>
      <c r="G20" s="28">
        <f>SUMIFS('AUX Gasto Mensual'!$AF:$AF,'AUX Gasto Mensual'!$Z:$Z,'AUX Gasto Real'!$B20)*$O$3</f>
        <v>748964.05180034228</v>
      </c>
      <c r="H20" s="28">
        <f>SUMIFS('AUX Gasto Mensual'!$AH:$AH,'AUX Gasto Mensual'!$Z:$Z,'AUX Gasto Real'!$B20)*$O$3</f>
        <v>1.3205065073719209</v>
      </c>
      <c r="I20" s="380">
        <f>SUMIFS('AUX Gasto Mensual'!$AE:$AE,'AUX Gasto Mensual'!$Z:$Z,'AUX Gasto Real'!$B20)*$O$3+SUMIFS('AUX Gasto Mensual'!$AC:$AC,'AUX Gasto Mensual'!$Z:$Z,'AUX Gasto Real'!$B20)*$O$3-F20</f>
        <v>3812288.4014334609</v>
      </c>
      <c r="J20" s="378">
        <f t="shared" si="1"/>
        <v>4654343.7129243026</v>
      </c>
      <c r="K20" s="378">
        <f t="shared" si="2"/>
        <v>5363799.0942391101</v>
      </c>
      <c r="L20" s="379">
        <f>K20/('AUX PIB'!E19*'AUX Gasto Real'!$O$3)</f>
        <v>1.6983492983589442E-2</v>
      </c>
      <c r="N20" s="30">
        <v>2022</v>
      </c>
      <c r="O20" s="28">
        <f>SUMIFS('AUX Gasto Mensual'!$AJ:$AJ,'AUX Gasto Mensual'!$Z:$Z,'AUX Gasto Real'!$N20)*$O$3</f>
        <v>3232288.131936131</v>
      </c>
      <c r="P20" s="28">
        <f>SUMIFS('AUX Gasto Mensual'!$AK:$AK,'AUX Gasto Mensual'!$Z:$Z,'AUX Gasto Real'!$N20)*$O$3</f>
        <v>2131510.9623029791</v>
      </c>
      <c r="Q20" s="449">
        <f t="shared" si="3"/>
        <v>5363799.0942391101</v>
      </c>
      <c r="R20" s="69"/>
    </row>
    <row r="21" spans="2:18" x14ac:dyDescent="0.25">
      <c r="B21" s="30">
        <v>2023</v>
      </c>
      <c r="C21" s="28">
        <f>SUMIFS('AUX Gasto Mensual'!$AD:$AD,'AUX Gasto Mensual'!$Z:$Z,'AUX Gasto Real'!$B21)*$O$3</f>
        <v>513896.7339849635</v>
      </c>
      <c r="D21" s="28">
        <f>SUMIFS('AUX Gasto Mensual'!$AG:$AG,'AUX Gasto Mensual'!$Z:$Z,'AUX Gasto Real'!$B21)*$O$3</f>
        <v>217750.77640511256</v>
      </c>
      <c r="E21" s="28">
        <f t="shared" si="0"/>
        <v>731647.51039007609</v>
      </c>
      <c r="F21" s="380">
        <f>SUMIFS('AUX Gasto Mensual'!$AC:$AC,'AUX Gasto Mensual'!$Z:$Z,'AUX Gasto Real'!$B21,'AUX Gasto Mensual'!$AA:$AA,'AUX Gasto Mensual'!$AA$169)*$O$3</f>
        <v>0</v>
      </c>
      <c r="G21" s="28">
        <f>SUMIFS('AUX Gasto Mensual'!$AF:$AF,'AUX Gasto Mensual'!$Z:$Z,'AUX Gasto Real'!$B21)*$O$3</f>
        <v>508824.20743910281</v>
      </c>
      <c r="H21" s="28">
        <f>SUMIFS('AUX Gasto Mensual'!$AH:$AH,'AUX Gasto Mensual'!$Z:$Z,'AUX Gasto Real'!$B21)*$O$3</f>
        <v>0</v>
      </c>
      <c r="I21" s="380">
        <f>SUMIFS('AUX Gasto Mensual'!$AE:$AE,'AUX Gasto Mensual'!$Z:$Z,'AUX Gasto Real'!$B21)*$O$3+SUMIFS('AUX Gasto Mensual'!$AC:$AC,'AUX Gasto Mensual'!$Z:$Z,'AUX Gasto Real'!$B21)*$O$3-F21</f>
        <v>5086696.617885693</v>
      </c>
      <c r="J21" s="378">
        <f t="shared" si="1"/>
        <v>5595520.8253247961</v>
      </c>
      <c r="K21" s="378">
        <f t="shared" si="2"/>
        <v>6327168.335714872</v>
      </c>
      <c r="L21" s="379">
        <f>K21/('AUX PIB'!E20*'AUX Gasto Real'!$O$3)</f>
        <v>2.0354357365197768E-2</v>
      </c>
      <c r="N21" s="30">
        <v>2023</v>
      </c>
      <c r="O21" s="28">
        <f>SUMIFS('AUX Gasto Mensual'!$AJ:$AJ,'AUX Gasto Mensual'!$Z:$Z,'AUX Gasto Real'!$N21)*$O$3</f>
        <v>3717522.6175583028</v>
      </c>
      <c r="P21" s="28">
        <f>SUMIFS('AUX Gasto Mensual'!$AK:$AK,'AUX Gasto Mensual'!$Z:$Z,'AUX Gasto Real'!$N21)*$O$3</f>
        <v>2609645.7181565687</v>
      </c>
      <c r="Q21" s="449">
        <f t="shared" si="3"/>
        <v>6327168.3357148711</v>
      </c>
      <c r="R21" s="69"/>
    </row>
    <row r="22" spans="2:18" x14ac:dyDescent="0.25">
      <c r="B22" s="30">
        <v>2024</v>
      </c>
      <c r="C22" s="28">
        <f>SUMIFS('AUX Gasto Mensual'!$AD:$AD,'AUX Gasto Mensual'!$Z:$Z,'AUX Gasto Real'!$B22)*$O$3</f>
        <v>534358.49816395075</v>
      </c>
      <c r="D22" s="28">
        <f>SUMIFS('AUX Gasto Mensual'!$AG:$AG,'AUX Gasto Mensual'!$Z:$Z,'AUX Gasto Real'!$B22)*$O$3</f>
        <v>222106.20406933266</v>
      </c>
      <c r="E22" s="28">
        <f>C22+D22</f>
        <v>756464.70223328343</v>
      </c>
      <c r="F22" s="380">
        <f>SUMIFS('AUX Gasto Mensual'!$AC:$AC,'AUX Gasto Mensual'!$Z:$Z,'AUX Gasto Real'!$B22,'AUX Gasto Mensual'!$AA:$AA,'AUX Gasto Mensual'!$AA$169)*$O$3</f>
        <v>0</v>
      </c>
      <c r="G22" s="28">
        <f>SUMIFS('AUX Gasto Mensual'!$AF:$AF,'AUX Gasto Mensual'!$Z:$Z,'AUX Gasto Real'!$B22)*$O$3</f>
        <v>503850.60506652354</v>
      </c>
      <c r="H22" s="28">
        <f>SUMIFS('AUX Gasto Mensual'!$AH:$AH,'AUX Gasto Mensual'!$Z:$Z,'AUX Gasto Real'!$B22)*$O$3</f>
        <v>0</v>
      </c>
      <c r="I22" s="380">
        <f>SUMIFS('AUX Gasto Mensual'!$AE:$AE,'AUX Gasto Mensual'!$Z:$Z,'AUX Gasto Real'!$B22)*$O$3+SUMIFS('AUX Gasto Mensual'!$AC:$AC,'AUX Gasto Mensual'!$Z:$Z,'AUX Gasto Real'!$B22)*$O$3-F22</f>
        <v>5484276.5687334286</v>
      </c>
      <c r="J22" s="378">
        <f>SUM(F22:I22)</f>
        <v>5988127.1737999525</v>
      </c>
      <c r="K22" s="378">
        <f>E22+J22</f>
        <v>6744591.8760332363</v>
      </c>
      <c r="L22" s="379">
        <f>K22/('AUX PIB'!E21*'AUX Gasto Real'!$O$3)</f>
        <v>2.0460961625322637E-2</v>
      </c>
      <c r="N22" s="30">
        <v>2024</v>
      </c>
      <c r="O22" s="28">
        <f>SUMIFS('AUX Gasto Mensual'!$AJ:$AJ,'AUX Gasto Mensual'!$Z:$Z,'AUX Gasto Real'!$N22)*$O$3</f>
        <v>3940542.3487643437</v>
      </c>
      <c r="P22" s="28">
        <f>SUMIFS('AUX Gasto Mensual'!$AK:$AK,'AUX Gasto Mensual'!$Z:$Z,'AUX Gasto Real'!$N22)*$O$3</f>
        <v>2804049.5272688931</v>
      </c>
      <c r="Q22" s="449">
        <f t="shared" si="3"/>
        <v>6744591.8760332372</v>
      </c>
      <c r="R22" s="69"/>
    </row>
    <row r="23" spans="2:18" x14ac:dyDescent="0.25">
      <c r="B23" s="30">
        <v>2025</v>
      </c>
      <c r="C23" s="28">
        <f>SUMIFS('AUX Gasto Mensual'!$AD:$AD,'AUX Gasto Mensual'!$Z:$Z,'AUX Gasto Real'!$B23)*$O$3</f>
        <v>571545.80920811626</v>
      </c>
      <c r="D23" s="28">
        <f>SUMIFS('AUX Gasto Mensual'!$AG:$AG,'AUX Gasto Mensual'!$Z:$Z,'AUX Gasto Real'!$B23)*$O$3</f>
        <v>239432.54243027582</v>
      </c>
      <c r="E23" s="28">
        <f>C23+D23</f>
        <v>810978.35163839208</v>
      </c>
      <c r="F23" s="380">
        <f>SUMIFS('AUX Gasto Mensual'!$AC:$AC,'AUX Gasto Mensual'!$Z:$Z,'AUX Gasto Real'!$B23,'AUX Gasto Mensual'!$AA:$AA,'AUX Gasto Mensual'!$AA$169)*$O$3</f>
        <v>0</v>
      </c>
      <c r="G23" s="28">
        <f>SUMIFS('AUX Gasto Mensual'!$AF:$AF,'AUX Gasto Mensual'!$Z:$Z,'AUX Gasto Real'!$B23)*$O$3</f>
        <v>487748.31390383339</v>
      </c>
      <c r="H23" s="28">
        <f>SUMIFS('AUX Gasto Mensual'!$AH:$AH,'AUX Gasto Mensual'!$Z:$Z,'AUX Gasto Real'!$B23)*$O$3</f>
        <v>0</v>
      </c>
      <c r="I23" s="380">
        <f>SUMIFS('AUX Gasto Mensual'!$AE:$AE,'AUX Gasto Mensual'!$Z:$Z,'AUX Gasto Real'!$B23)*$O$3+SUMIFS('AUX Gasto Mensual'!$AC:$AC,'AUX Gasto Mensual'!$Z:$Z,'AUX Gasto Real'!$B23)*$O$3-F23</f>
        <v>5855795.9555907939</v>
      </c>
      <c r="J23" s="378">
        <f>SUM(F23:I23)</f>
        <v>6343544.2694946276</v>
      </c>
      <c r="K23" s="378">
        <f>E23+J23</f>
        <v>7154522.6211330201</v>
      </c>
      <c r="L23" s="379">
        <f>K23/('AUX PIB'!E22*'AUX Gasto Real'!$O$3)</f>
        <v>2.1047775159991507E-2</v>
      </c>
      <c r="N23" s="30">
        <v>2025</v>
      </c>
      <c r="O23" s="28">
        <f>SUMIFS('AUX Gasto Mensual'!$AJ:$AJ,'AUX Gasto Mensual'!$Z:$Z,'AUX Gasto Real'!$N23)*$O$3</f>
        <v>4163425.1861378467</v>
      </c>
      <c r="P23" s="28">
        <f>SUMIFS('AUX Gasto Mensual'!$AK:$AK,'AUX Gasto Mensual'!$Z:$Z,'AUX Gasto Real'!$N23)*$O$3</f>
        <v>2991097.4349951735</v>
      </c>
      <c r="Q23" s="449">
        <f t="shared" ref="Q23" si="4">O23+P23</f>
        <v>7154522.6211330201</v>
      </c>
      <c r="R23" s="69"/>
    </row>
    <row r="24" spans="2:18" ht="34.9" customHeight="1" x14ac:dyDescent="0.25">
      <c r="B24" s="617" t="s">
        <v>685</v>
      </c>
      <c r="C24" s="521"/>
      <c r="D24" s="521"/>
      <c r="E24" s="521"/>
      <c r="F24" s="521"/>
      <c r="G24" s="521"/>
      <c r="H24" s="521"/>
      <c r="I24" s="521"/>
      <c r="J24" s="521"/>
      <c r="K24" s="521"/>
      <c r="L24" s="521"/>
    </row>
  </sheetData>
  <mergeCells count="1">
    <mergeCell ref="B24:L2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0B1D4-1B23-456D-93F7-1678C5ABD734}">
  <sheetPr>
    <tabColor theme="3" tint="-0.249977111117893"/>
  </sheetPr>
  <dimension ref="B3:N24"/>
  <sheetViews>
    <sheetView showGridLines="0" workbookViewId="0"/>
    <sheetView workbookViewId="1"/>
  </sheetViews>
  <sheetFormatPr baseColWidth="10" defaultRowHeight="15" x14ac:dyDescent="0.25"/>
  <cols>
    <col min="1" max="1" width="6.28515625" customWidth="1"/>
    <col min="3" max="5" width="13" bestFit="1" customWidth="1"/>
    <col min="12" max="12" width="13.85546875" bestFit="1" customWidth="1"/>
  </cols>
  <sheetData>
    <row r="3" spans="2:14" ht="14.45" customHeight="1" x14ac:dyDescent="0.25">
      <c r="B3" s="374" t="s">
        <v>156</v>
      </c>
      <c r="C3" s="374"/>
      <c r="D3" s="374"/>
      <c r="E3" s="374"/>
      <c r="F3" s="374"/>
      <c r="G3" s="374"/>
      <c r="H3" s="374"/>
      <c r="I3" s="374"/>
      <c r="J3" s="374"/>
      <c r="K3" s="374"/>
      <c r="L3" s="374"/>
    </row>
    <row r="4" spans="2:14" ht="14.45" customHeight="1" x14ac:dyDescent="0.25">
      <c r="B4" s="374"/>
      <c r="C4" s="374"/>
      <c r="D4" s="374"/>
      <c r="E4" s="374"/>
      <c r="F4" s="374"/>
      <c r="G4" s="374"/>
      <c r="H4" s="374"/>
      <c r="I4" s="374"/>
      <c r="J4" s="374"/>
      <c r="K4" s="374"/>
      <c r="L4" s="374"/>
    </row>
    <row r="5" spans="2:14" ht="24" x14ac:dyDescent="0.25">
      <c r="B5" s="52" t="s">
        <v>135</v>
      </c>
      <c r="C5" s="62" t="s">
        <v>136</v>
      </c>
      <c r="D5" s="62" t="s">
        <v>137</v>
      </c>
      <c r="E5" s="40" t="s">
        <v>99</v>
      </c>
      <c r="F5" s="62" t="s">
        <v>138</v>
      </c>
      <c r="G5" s="62" t="s">
        <v>139</v>
      </c>
      <c r="H5" s="62" t="s">
        <v>140</v>
      </c>
      <c r="I5" s="62" t="s">
        <v>141</v>
      </c>
      <c r="J5" s="52" t="s">
        <v>100</v>
      </c>
      <c r="K5" s="40" t="s">
        <v>142</v>
      </c>
      <c r="L5" s="40" t="s">
        <v>143</v>
      </c>
      <c r="N5" s="377" t="s">
        <v>607</v>
      </c>
    </row>
    <row r="6" spans="2:14" x14ac:dyDescent="0.25">
      <c r="B6" s="30">
        <v>2008</v>
      </c>
      <c r="C6" s="28">
        <f>SUMIFS('AUX Gasto Mensual'!$AD:$AD,'AUX Gasto Mensual'!$Z:$Z,'AUX Gasto Nominal'!$B6)*AVERAGEIFS('AUX UF'!$H:$H,'AUX UF'!$G:$G,'AUX Gasto Nominal'!$B6)</f>
        <v>68680.062411455714</v>
      </c>
      <c r="D6" s="28">
        <f>SUMIFS('AUX Gasto Mensual'!$AG:$AG,'AUX Gasto Mensual'!$Z:$Z,'AUX Gasto Nominal'!$B6)*AVERAGEIFS('AUX UF'!$H:$H,'AUX UF'!$G:$G,'AUX Gasto Nominal'!$B6)</f>
        <v>146.86595405268275</v>
      </c>
      <c r="E6" s="28">
        <f>C6+D6</f>
        <v>68826.9283655084</v>
      </c>
      <c r="F6" s="28">
        <f>SUMIFS('AUX Gasto Mensual'!$AC:$AC,'AUX Gasto Mensual'!$Z:$Z,'AUX Gasto Nominal'!$B6)*AVERAGEIFS('AUX UF'!$H:$H,'AUX UF'!$G:$G,'AUX Gasto Nominal'!$B6)</f>
        <v>119018.1519729601</v>
      </c>
      <c r="G6" s="28">
        <f>SUMIFS('AUX Gasto Mensual'!$AF:$AF,'AUX Gasto Mensual'!$Z:$Z,'AUX Gasto Nominal'!$B6)*AVERAGEIFS('AUX UF'!$H:$H,'AUX UF'!$G:$G,'AUX Gasto Nominal'!$B6)</f>
        <v>1117.5775571136994</v>
      </c>
      <c r="H6" s="28">
        <f>SUMIFS('AUX Gasto Mensual'!$AH:$AH,'AUX Gasto Mensual'!$Z:$Z,'AUX Gasto Nominal'!$B6)*AVERAGEIFS('AUX UF'!$H:$H,'AUX UF'!$G:$G,'AUX Gasto Nominal'!$B6)</f>
        <v>0</v>
      </c>
      <c r="I6" s="28">
        <f>SUMIFS('AUX Gasto Mensual'!$AE:$AE,'AUX Gasto Mensual'!$Z:$Z,'AUX Gasto Nominal'!$B6)*AVERAGEIFS('AUX UF'!$H:$H,'AUX UF'!$G:$G,'AUX Gasto Nominal'!$B6)</f>
        <v>0</v>
      </c>
      <c r="J6" s="378">
        <f>SUM(F6:I6)</f>
        <v>120135.7295300738</v>
      </c>
      <c r="K6" s="378">
        <f>E6+J6</f>
        <v>188962.6578955822</v>
      </c>
      <c r="L6" s="379">
        <f>K6/('AUX PIB'!D5)</f>
        <v>2.0130867473433628E-3</v>
      </c>
      <c r="N6" t="s">
        <v>584</v>
      </c>
    </row>
    <row r="7" spans="2:14" x14ac:dyDescent="0.25">
      <c r="B7" s="30">
        <v>2009</v>
      </c>
      <c r="C7" s="28">
        <f>SUMIFS('AUX Gasto Mensual'!$AD:$AD,'AUX Gasto Mensual'!$Z:$Z,'AUX Gasto Nominal'!$B7)*AVERAGEIFS('AUX UF'!$H:$H,'AUX UF'!$G:$G,'AUX Gasto Nominal'!$B7)</f>
        <v>178629.28996517768</v>
      </c>
      <c r="D7" s="28">
        <f>SUMIFS('AUX Gasto Mensual'!$AG:$AG,'AUX Gasto Mensual'!$Z:$Z,'AUX Gasto Nominal'!$B7)*AVERAGEIFS('AUX UF'!$H:$H,'AUX UF'!$G:$G,'AUX Gasto Nominal'!$B7)</f>
        <v>4351.5255169110696</v>
      </c>
      <c r="E7" s="28">
        <f t="shared" ref="E7:E21" si="0">C7+D7</f>
        <v>182980.81548208874</v>
      </c>
      <c r="F7" s="28">
        <f>SUMIFS('AUX Gasto Mensual'!$AC:$AC,'AUX Gasto Mensual'!$Z:$Z,'AUX Gasto Nominal'!$B7)*AVERAGEIFS('AUX UF'!$H:$H,'AUX UF'!$G:$G,'AUX Gasto Nominal'!$B7)</f>
        <v>316681.67725058517</v>
      </c>
      <c r="G7" s="28">
        <f>SUMIFS('AUX Gasto Mensual'!$AF:$AF,'AUX Gasto Mensual'!$Z:$Z,'AUX Gasto Nominal'!$B7)*AVERAGEIFS('AUX UF'!$H:$H,'AUX UF'!$G:$G,'AUX Gasto Nominal'!$B7)</f>
        <v>26935.287537717191</v>
      </c>
      <c r="H7" s="28">
        <f>SUMIFS('AUX Gasto Mensual'!$AH:$AH,'AUX Gasto Mensual'!$Z:$Z,'AUX Gasto Nominal'!$B7)*AVERAGEIFS('AUX UF'!$H:$H,'AUX UF'!$G:$G,'AUX Gasto Nominal'!$B7)</f>
        <v>0</v>
      </c>
      <c r="I7" s="28">
        <f>SUMIFS('AUX Gasto Mensual'!$AE:$AE,'AUX Gasto Mensual'!$Z:$Z,'AUX Gasto Nominal'!$B7)*AVERAGEIFS('AUX UF'!$H:$H,'AUX UF'!$G:$G,'AUX Gasto Nominal'!$B7)</f>
        <v>0</v>
      </c>
      <c r="J7" s="378">
        <f t="shared" ref="J7:J22" si="1">SUM(F7:I7)</f>
        <v>343616.96478830237</v>
      </c>
      <c r="K7" s="378">
        <f t="shared" ref="K7:K22" si="2">E7+J7</f>
        <v>526597.78027039114</v>
      </c>
      <c r="L7" s="379">
        <f>K7/('AUX PIB'!D6)</f>
        <v>5.4774924170145241E-3</v>
      </c>
    </row>
    <row r="8" spans="2:14" x14ac:dyDescent="0.25">
      <c r="B8" s="30">
        <v>2010</v>
      </c>
      <c r="C8" s="28">
        <f>SUMIFS('AUX Gasto Mensual'!$AD:$AD,'AUX Gasto Mensual'!$Z:$Z,'AUX Gasto Nominal'!$B8)*AVERAGEIFS('AUX UF'!$H:$H,'AUX UF'!$G:$G,'AUX Gasto Nominal'!$B8)</f>
        <v>202827.07728639964</v>
      </c>
      <c r="D8" s="28">
        <f>SUMIFS('AUX Gasto Mensual'!$AG:$AG,'AUX Gasto Mensual'!$Z:$Z,'AUX Gasto Nominal'!$B8)*AVERAGEIFS('AUX UF'!$H:$H,'AUX UF'!$G:$G,'AUX Gasto Nominal'!$B8)</f>
        <v>13634.321621412786</v>
      </c>
      <c r="E8" s="28">
        <f t="shared" si="0"/>
        <v>216461.39890781243</v>
      </c>
      <c r="F8" s="28">
        <f>SUMIFS('AUX Gasto Mensual'!$AC:$AC,'AUX Gasto Mensual'!$Z:$Z,'AUX Gasto Nominal'!$B8)*AVERAGEIFS('AUX UF'!$H:$H,'AUX UF'!$G:$G,'AUX Gasto Nominal'!$B8)</f>
        <v>371442.10262718273</v>
      </c>
      <c r="G8" s="28">
        <f>SUMIFS('AUX Gasto Mensual'!$AF:$AF,'AUX Gasto Mensual'!$Z:$Z,'AUX Gasto Nominal'!$B8)*AVERAGEIFS('AUX UF'!$H:$H,'AUX UF'!$G:$G,'AUX Gasto Nominal'!$B8)</f>
        <v>117074.18546647676</v>
      </c>
      <c r="H8" s="28">
        <f>SUMIFS('AUX Gasto Mensual'!$AH:$AH,'AUX Gasto Mensual'!$Z:$Z,'AUX Gasto Nominal'!$B8)*AVERAGEIFS('AUX UF'!$H:$H,'AUX UF'!$G:$G,'AUX Gasto Nominal'!$B8)</f>
        <v>0</v>
      </c>
      <c r="I8" s="28">
        <f>SUMIFS('AUX Gasto Mensual'!$AE:$AE,'AUX Gasto Mensual'!$Z:$Z,'AUX Gasto Nominal'!$B8)*AVERAGEIFS('AUX UF'!$H:$H,'AUX UF'!$G:$G,'AUX Gasto Nominal'!$B8)</f>
        <v>0</v>
      </c>
      <c r="J8" s="378">
        <f t="shared" si="1"/>
        <v>488516.2880936595</v>
      </c>
      <c r="K8" s="378">
        <f t="shared" si="2"/>
        <v>704977.68700147187</v>
      </c>
      <c r="L8" s="379">
        <f>K8/('AUX PIB'!D7)</f>
        <v>6.3638857369463214E-3</v>
      </c>
    </row>
    <row r="9" spans="2:14" x14ac:dyDescent="0.25">
      <c r="B9" s="30">
        <v>2011</v>
      </c>
      <c r="C9" s="28">
        <f>SUMIFS('AUX Gasto Mensual'!$AD:$AD,'AUX Gasto Mensual'!$Z:$Z,'AUX Gasto Nominal'!$B9)*AVERAGEIFS('AUX UF'!$H:$H,'AUX UF'!$G:$G,'AUX Gasto Nominal'!$B9)</f>
        <v>204761.55968172164</v>
      </c>
      <c r="D9" s="28">
        <f>SUMIFS('AUX Gasto Mensual'!$AG:$AG,'AUX Gasto Mensual'!$Z:$Z,'AUX Gasto Nominal'!$B9)*AVERAGEIFS('AUX UF'!$H:$H,'AUX UF'!$G:$G,'AUX Gasto Nominal'!$B9)</f>
        <v>21939.207360220757</v>
      </c>
      <c r="E9" s="28">
        <f t="shared" si="0"/>
        <v>226700.7670419424</v>
      </c>
      <c r="F9" s="28">
        <f>SUMIFS('AUX Gasto Mensual'!$AC:$AC,'AUX Gasto Mensual'!$Z:$Z,'AUX Gasto Nominal'!$B9)*AVERAGEIFS('AUX UF'!$H:$H,'AUX UF'!$G:$G,'AUX Gasto Nominal'!$B9)</f>
        <v>382170.23049996357</v>
      </c>
      <c r="G9" s="28">
        <f>SUMIFS('AUX Gasto Mensual'!$AF:$AF,'AUX Gasto Mensual'!$Z:$Z,'AUX Gasto Nominal'!$B9)*AVERAGEIFS('AUX UF'!$H:$H,'AUX UF'!$G:$G,'AUX Gasto Nominal'!$B9)</f>
        <v>209017.17637791182</v>
      </c>
      <c r="H9" s="28">
        <f>SUMIFS('AUX Gasto Mensual'!$AH:$AH,'AUX Gasto Mensual'!$Z:$Z,'AUX Gasto Nominal'!$B9)*AVERAGEIFS('AUX UF'!$H:$H,'AUX UF'!$G:$G,'AUX Gasto Nominal'!$B9)</f>
        <v>0</v>
      </c>
      <c r="I9" s="28">
        <f>SUMIFS('AUX Gasto Mensual'!$AE:$AE,'AUX Gasto Mensual'!$Z:$Z,'AUX Gasto Nominal'!$B9)*AVERAGEIFS('AUX UF'!$H:$H,'AUX UF'!$G:$G,'AUX Gasto Nominal'!$B9)</f>
        <v>0</v>
      </c>
      <c r="J9" s="378">
        <f t="shared" si="1"/>
        <v>591187.40687787533</v>
      </c>
      <c r="K9" s="378">
        <f t="shared" si="2"/>
        <v>817888.17391981767</v>
      </c>
      <c r="L9" s="379">
        <f>K9/('AUX PIB'!D8)</f>
        <v>6.7310747730596832E-3</v>
      </c>
    </row>
    <row r="10" spans="2:14" x14ac:dyDescent="0.25">
      <c r="B10" s="30">
        <v>2012</v>
      </c>
      <c r="C10" s="28">
        <f>SUMIFS('AUX Gasto Mensual'!$AD:$AD,'AUX Gasto Mensual'!$Z:$Z,'AUX Gasto Nominal'!$B10)*AVERAGEIFS('AUX UF'!$H:$H,'AUX UF'!$G:$G,'AUX Gasto Nominal'!$B10)</f>
        <v>201809.6720013906</v>
      </c>
      <c r="D10" s="28">
        <f>SUMIFS('AUX Gasto Mensual'!$AG:$AG,'AUX Gasto Mensual'!$Z:$Z,'AUX Gasto Nominal'!$B10)*AVERAGEIFS('AUX UF'!$H:$H,'AUX UF'!$G:$G,'AUX Gasto Nominal'!$B10)</f>
        <v>32824.541799008497</v>
      </c>
      <c r="E10" s="28">
        <f t="shared" si="0"/>
        <v>234634.2138003991</v>
      </c>
      <c r="F10" s="28">
        <f>SUMIFS('AUX Gasto Mensual'!$AC:$AC,'AUX Gasto Mensual'!$Z:$Z,'AUX Gasto Nominal'!$B10)*AVERAGEIFS('AUX UF'!$H:$H,'AUX UF'!$G:$G,'AUX Gasto Nominal'!$B10)</f>
        <v>392644.73741605243</v>
      </c>
      <c r="G10" s="28">
        <f>SUMIFS('AUX Gasto Mensual'!$AF:$AF,'AUX Gasto Mensual'!$Z:$Z,'AUX Gasto Nominal'!$B10)*AVERAGEIFS('AUX UF'!$H:$H,'AUX UF'!$G:$G,'AUX Gasto Nominal'!$B10)</f>
        <v>281531.79276464909</v>
      </c>
      <c r="H10" s="28">
        <f>SUMIFS('AUX Gasto Mensual'!$AH:$AH,'AUX Gasto Mensual'!$Z:$Z,'AUX Gasto Nominal'!$B10)*AVERAGEIFS('AUX UF'!$H:$H,'AUX UF'!$G:$G,'AUX Gasto Nominal'!$B10)</f>
        <v>0</v>
      </c>
      <c r="I10" s="28">
        <f>SUMIFS('AUX Gasto Mensual'!$AE:$AE,'AUX Gasto Mensual'!$Z:$Z,'AUX Gasto Nominal'!$B10)*AVERAGEIFS('AUX UF'!$H:$H,'AUX UF'!$G:$G,'AUX Gasto Nominal'!$B10)</f>
        <v>0</v>
      </c>
      <c r="J10" s="378">
        <f t="shared" si="1"/>
        <v>674176.53018070152</v>
      </c>
      <c r="K10" s="378">
        <f t="shared" si="2"/>
        <v>908810.74398110062</v>
      </c>
      <c r="L10" s="379">
        <f>K10/('AUX PIB'!D9)</f>
        <v>6.992282925833238E-3</v>
      </c>
    </row>
    <row r="11" spans="2:14" x14ac:dyDescent="0.25">
      <c r="B11" s="30">
        <v>2013</v>
      </c>
      <c r="C11" s="28">
        <f>SUMIFS('AUX Gasto Mensual'!$AD:$AD,'AUX Gasto Mensual'!$Z:$Z,'AUX Gasto Nominal'!$B11)*AVERAGEIFS('AUX UF'!$H:$H,'AUX UF'!$G:$G,'AUX Gasto Nominal'!$B11)</f>
        <v>192221.26735428767</v>
      </c>
      <c r="D11" s="28">
        <f>SUMIFS('AUX Gasto Mensual'!$AG:$AG,'AUX Gasto Mensual'!$Z:$Z,'AUX Gasto Nominal'!$B11)*AVERAGEIFS('AUX UF'!$H:$H,'AUX UF'!$G:$G,'AUX Gasto Nominal'!$B11)</f>
        <v>45554.747165912762</v>
      </c>
      <c r="E11" s="28">
        <f t="shared" si="0"/>
        <v>237776.01452020044</v>
      </c>
      <c r="F11" s="28">
        <f>SUMIFS('AUX Gasto Mensual'!$AC:$AC,'AUX Gasto Mensual'!$Z:$Z,'AUX Gasto Nominal'!$B11)*AVERAGEIFS('AUX UF'!$H:$H,'AUX UF'!$G:$G,'AUX Gasto Nominal'!$B11)</f>
        <v>397992.44821855222</v>
      </c>
      <c r="G11" s="28">
        <f>SUMIFS('AUX Gasto Mensual'!$AF:$AF,'AUX Gasto Mensual'!$Z:$Z,'AUX Gasto Nominal'!$B11)*AVERAGEIFS('AUX UF'!$H:$H,'AUX UF'!$G:$G,'AUX Gasto Nominal'!$B11)</f>
        <v>328338.94974840339</v>
      </c>
      <c r="H11" s="28">
        <f>SUMIFS('AUX Gasto Mensual'!$AH:$AH,'AUX Gasto Mensual'!$Z:$Z,'AUX Gasto Nominal'!$B11)*AVERAGEIFS('AUX UF'!$H:$H,'AUX UF'!$G:$G,'AUX Gasto Nominal'!$B11)</f>
        <v>0</v>
      </c>
      <c r="I11" s="28">
        <f>SUMIFS('AUX Gasto Mensual'!$AE:$AE,'AUX Gasto Mensual'!$Z:$Z,'AUX Gasto Nominal'!$B11)*AVERAGEIFS('AUX UF'!$H:$H,'AUX UF'!$G:$G,'AUX Gasto Nominal'!$B11)</f>
        <v>0</v>
      </c>
      <c r="J11" s="378">
        <f t="shared" si="1"/>
        <v>726331.39796695556</v>
      </c>
      <c r="K11" s="378">
        <f t="shared" si="2"/>
        <v>964107.41248715599</v>
      </c>
      <c r="L11" s="379">
        <f>K11/('AUX PIB'!D10)</f>
        <v>7.0214338774907585E-3</v>
      </c>
    </row>
    <row r="12" spans="2:14" x14ac:dyDescent="0.25">
      <c r="B12" s="30">
        <v>2014</v>
      </c>
      <c r="C12" s="28">
        <f>SUMIFS('AUX Gasto Mensual'!$AD:$AD,'AUX Gasto Mensual'!$Z:$Z,'AUX Gasto Nominal'!$B12)*AVERAGEIFS('AUX UF'!$H:$H,'AUX UF'!$G:$G,'AUX Gasto Nominal'!$B12)</f>
        <v>188526.9351004624</v>
      </c>
      <c r="D12" s="28">
        <f>SUMIFS('AUX Gasto Mensual'!$AG:$AG,'AUX Gasto Mensual'!$Z:$Z,'AUX Gasto Nominal'!$B12)*AVERAGEIFS('AUX UF'!$H:$H,'AUX UF'!$G:$G,'AUX Gasto Nominal'!$B12)</f>
        <v>59105.274564257867</v>
      </c>
      <c r="E12" s="28">
        <f t="shared" si="0"/>
        <v>247632.20966472029</v>
      </c>
      <c r="F12" s="28">
        <f>SUMIFS('AUX Gasto Mensual'!$AC:$AC,'AUX Gasto Mensual'!$Z:$Z,'AUX Gasto Nominal'!$B12)*AVERAGEIFS('AUX UF'!$H:$H,'AUX UF'!$G:$G,'AUX Gasto Nominal'!$B12)</f>
        <v>407579.72962543258</v>
      </c>
      <c r="G12" s="28">
        <f>SUMIFS('AUX Gasto Mensual'!$AF:$AF,'AUX Gasto Mensual'!$Z:$Z,'AUX Gasto Nominal'!$B12)*AVERAGEIFS('AUX UF'!$H:$H,'AUX UF'!$G:$G,'AUX Gasto Nominal'!$B12)</f>
        <v>377464.06879718782</v>
      </c>
      <c r="H12" s="28">
        <f>SUMIFS('AUX Gasto Mensual'!$AH:$AH,'AUX Gasto Mensual'!$Z:$Z,'AUX Gasto Nominal'!$B12)*AVERAGEIFS('AUX UF'!$H:$H,'AUX UF'!$G:$G,'AUX Gasto Nominal'!$B12)</f>
        <v>0</v>
      </c>
      <c r="I12" s="28">
        <f>SUMIFS('AUX Gasto Mensual'!$AE:$AE,'AUX Gasto Mensual'!$Z:$Z,'AUX Gasto Nominal'!$B12)*AVERAGEIFS('AUX UF'!$H:$H,'AUX UF'!$G:$G,'AUX Gasto Nominal'!$B12)</f>
        <v>0</v>
      </c>
      <c r="J12" s="378">
        <f t="shared" si="1"/>
        <v>785043.7984226204</v>
      </c>
      <c r="K12" s="378">
        <f t="shared" si="2"/>
        <v>1032676.0080873407</v>
      </c>
      <c r="L12" s="379">
        <f>K12/('AUX PIB'!D11)</f>
        <v>6.979837809028837E-3</v>
      </c>
    </row>
    <row r="13" spans="2:14" x14ac:dyDescent="0.25">
      <c r="B13" s="30">
        <v>2015</v>
      </c>
      <c r="C13" s="28">
        <f>SUMIFS('AUX Gasto Mensual'!$AD:$AD,'AUX Gasto Mensual'!$Z:$Z,'AUX Gasto Nominal'!$B13)*AVERAGEIFS('AUX UF'!$H:$H,'AUX UF'!$G:$G,'AUX Gasto Nominal'!$B13)</f>
        <v>194471.22487565401</v>
      </c>
      <c r="D13" s="28">
        <f>SUMIFS('AUX Gasto Mensual'!$AG:$AG,'AUX Gasto Mensual'!$Z:$Z,'AUX Gasto Nominal'!$B13)*AVERAGEIFS('AUX UF'!$H:$H,'AUX UF'!$G:$G,'AUX Gasto Nominal'!$B13)</f>
        <v>65281.455939507585</v>
      </c>
      <c r="E13" s="28">
        <f t="shared" si="0"/>
        <v>259752.68081516158</v>
      </c>
      <c r="F13" s="28">
        <f>SUMIFS('AUX Gasto Mensual'!$AC:$AC,'AUX Gasto Mensual'!$Z:$Z,'AUX Gasto Nominal'!$B13)*AVERAGEIFS('AUX UF'!$H:$H,'AUX UF'!$G:$G,'AUX Gasto Nominal'!$B13)</f>
        <v>424262.36294170126</v>
      </c>
      <c r="G13" s="28">
        <f>SUMIFS('AUX Gasto Mensual'!$AF:$AF,'AUX Gasto Mensual'!$Z:$Z,'AUX Gasto Nominal'!$B13)*AVERAGEIFS('AUX UF'!$H:$H,'AUX UF'!$G:$G,'AUX Gasto Nominal'!$B13)</f>
        <v>437437.30904257129</v>
      </c>
      <c r="H13" s="28">
        <f>SUMIFS('AUX Gasto Mensual'!$AH:$AH,'AUX Gasto Mensual'!$Z:$Z,'AUX Gasto Nominal'!$B13)*AVERAGEIFS('AUX UF'!$H:$H,'AUX UF'!$G:$G,'AUX Gasto Nominal'!$B13)</f>
        <v>0</v>
      </c>
      <c r="I13" s="28">
        <f>SUMIFS('AUX Gasto Mensual'!$AE:$AE,'AUX Gasto Mensual'!$Z:$Z,'AUX Gasto Nominal'!$B13)*AVERAGEIFS('AUX UF'!$H:$H,'AUX UF'!$G:$G,'AUX Gasto Nominal'!$B13)</f>
        <v>0</v>
      </c>
      <c r="J13" s="378">
        <f t="shared" si="1"/>
        <v>861699.67198427254</v>
      </c>
      <c r="K13" s="378">
        <f t="shared" si="2"/>
        <v>1121452.3527994342</v>
      </c>
      <c r="L13" s="379">
        <f>K13/('AUX PIB'!D12)</f>
        <v>7.0699270574187479E-3</v>
      </c>
    </row>
    <row r="14" spans="2:14" x14ac:dyDescent="0.25">
      <c r="B14" s="30">
        <v>2016</v>
      </c>
      <c r="C14" s="28">
        <f>SUMIFS('AUX Gasto Mensual'!$AD:$AD,'AUX Gasto Mensual'!$Z:$Z,'AUX Gasto Nominal'!$B14)*AVERAGEIFS('AUX UF'!$H:$H,'AUX UF'!$G:$G,'AUX Gasto Nominal'!$B14)</f>
        <v>204643.21487753277</v>
      </c>
      <c r="D14" s="28">
        <f>SUMIFS('AUX Gasto Mensual'!$AG:$AG,'AUX Gasto Mensual'!$Z:$Z,'AUX Gasto Nominal'!$B14)*AVERAGEIFS('AUX UF'!$H:$H,'AUX UF'!$G:$G,'AUX Gasto Nominal'!$B14)</f>
        <v>67934.06757118227</v>
      </c>
      <c r="E14" s="28">
        <f t="shared" si="0"/>
        <v>272577.28244871506</v>
      </c>
      <c r="F14" s="28">
        <f>SUMIFS('AUX Gasto Mensual'!$AC:$AC,'AUX Gasto Mensual'!$Z:$Z,'AUX Gasto Nominal'!$B14)*AVERAGEIFS('AUX UF'!$H:$H,'AUX UF'!$G:$G,'AUX Gasto Nominal'!$B14)</f>
        <v>442149.17994541721</v>
      </c>
      <c r="G14" s="28">
        <f>SUMIFS('AUX Gasto Mensual'!$AF:$AF,'AUX Gasto Mensual'!$Z:$Z,'AUX Gasto Nominal'!$B14)*AVERAGEIFS('AUX UF'!$H:$H,'AUX UF'!$G:$G,'AUX Gasto Nominal'!$B14)</f>
        <v>494954.52876689116</v>
      </c>
      <c r="H14" s="28">
        <f>SUMIFS('AUX Gasto Mensual'!$AH:$AH,'AUX Gasto Mensual'!$Z:$Z,'AUX Gasto Nominal'!$B14)*AVERAGEIFS('AUX UF'!$H:$H,'AUX UF'!$G:$G,'AUX Gasto Nominal'!$B14)</f>
        <v>0</v>
      </c>
      <c r="I14" s="28">
        <f>SUMIFS('AUX Gasto Mensual'!$AE:$AE,'AUX Gasto Mensual'!$Z:$Z,'AUX Gasto Nominal'!$B14)*AVERAGEIFS('AUX UF'!$H:$H,'AUX UF'!$G:$G,'AUX Gasto Nominal'!$B14)</f>
        <v>0</v>
      </c>
      <c r="J14" s="378">
        <f t="shared" si="1"/>
        <v>937103.70871230843</v>
      </c>
      <c r="K14" s="378">
        <f t="shared" si="2"/>
        <v>1209680.9911610235</v>
      </c>
      <c r="L14" s="379">
        <f>K14/('AUX PIB'!D13)</f>
        <v>7.1678560609699776E-3</v>
      </c>
    </row>
    <row r="15" spans="2:14" x14ac:dyDescent="0.25">
      <c r="B15" s="30">
        <v>2017</v>
      </c>
      <c r="C15" s="28">
        <f>SUMIFS('AUX Gasto Mensual'!$AD:$AD,'AUX Gasto Mensual'!$Z:$Z,'AUX Gasto Nominal'!$B15)*AVERAGEIFS('AUX UF'!$H:$H,'AUX UF'!$G:$G,'AUX Gasto Nominal'!$B15)</f>
        <v>232035.04816615567</v>
      </c>
      <c r="D15" s="28">
        <f>SUMIFS('AUX Gasto Mensual'!$AG:$AG,'AUX Gasto Mensual'!$Z:$Z,'AUX Gasto Nominal'!$B15)*AVERAGEIFS('AUX UF'!$H:$H,'AUX UF'!$G:$G,'AUX Gasto Nominal'!$B15)</f>
        <v>76778.28082023692</v>
      </c>
      <c r="E15" s="28">
        <f t="shared" si="0"/>
        <v>308813.32898639259</v>
      </c>
      <c r="F15" s="28">
        <f>SUMIFS('AUX Gasto Mensual'!$AC:$AC,'AUX Gasto Mensual'!$Z:$Z,'AUX Gasto Nominal'!$B15)*AVERAGEIFS('AUX UF'!$H:$H,'AUX UF'!$G:$G,'AUX Gasto Nominal'!$B15)</f>
        <v>501271.09179588273</v>
      </c>
      <c r="G15" s="28">
        <f>SUMIFS('AUX Gasto Mensual'!$AF:$AF,'AUX Gasto Mensual'!$Z:$Z,'AUX Gasto Nominal'!$B15)*AVERAGEIFS('AUX UF'!$H:$H,'AUX UF'!$G:$G,'AUX Gasto Nominal'!$B15)</f>
        <v>601299.88640390977</v>
      </c>
      <c r="H15" s="28">
        <f>SUMIFS('AUX Gasto Mensual'!$AH:$AH,'AUX Gasto Mensual'!$Z:$Z,'AUX Gasto Nominal'!$B15)*AVERAGEIFS('AUX UF'!$H:$H,'AUX UF'!$G:$G,'AUX Gasto Nominal'!$B15)</f>
        <v>0</v>
      </c>
      <c r="I15" s="28">
        <f>SUMIFS('AUX Gasto Mensual'!$AE:$AE,'AUX Gasto Mensual'!$Z:$Z,'AUX Gasto Nominal'!$B15)*AVERAGEIFS('AUX UF'!$H:$H,'AUX UF'!$G:$G,'AUX Gasto Nominal'!$B15)</f>
        <v>0</v>
      </c>
      <c r="J15" s="378">
        <f t="shared" si="1"/>
        <v>1102570.9781997926</v>
      </c>
      <c r="K15" s="378">
        <f t="shared" si="2"/>
        <v>1411384.3071861851</v>
      </c>
      <c r="L15" s="379">
        <f>K15/('AUX PIB'!D14)</f>
        <v>7.8709813163413793E-3</v>
      </c>
    </row>
    <row r="16" spans="2:14" x14ac:dyDescent="0.25">
      <c r="B16" s="30">
        <v>2018</v>
      </c>
      <c r="C16" s="28">
        <f>SUMIFS('AUX Gasto Mensual'!$AD:$AD,'AUX Gasto Mensual'!$Z:$Z,'AUX Gasto Nominal'!$B16)*AVERAGEIFS('AUX UF'!$H:$H,'AUX UF'!$G:$G,'AUX Gasto Nominal'!$B16)</f>
        <v>237797.25466446465</v>
      </c>
      <c r="D16" s="28">
        <f>SUMIFS('AUX Gasto Mensual'!$AG:$AG,'AUX Gasto Mensual'!$Z:$Z,'AUX Gasto Nominal'!$B16)*AVERAGEIFS('AUX UF'!$H:$H,'AUX UF'!$G:$G,'AUX Gasto Nominal'!$B16)</f>
        <v>79811.085537875886</v>
      </c>
      <c r="E16" s="28">
        <f t="shared" si="0"/>
        <v>317608.34020234051</v>
      </c>
      <c r="F16" s="28">
        <f>SUMIFS('AUX Gasto Mensual'!$AC:$AC,'AUX Gasto Mensual'!$Z:$Z,'AUX Gasto Nominal'!$B16)*AVERAGEIFS('AUX UF'!$H:$H,'AUX UF'!$G:$G,'AUX Gasto Nominal'!$B16)</f>
        <v>515671.29953359516</v>
      </c>
      <c r="G16" s="28">
        <f>SUMIFS('AUX Gasto Mensual'!$AF:$AF,'AUX Gasto Mensual'!$Z:$Z,'AUX Gasto Nominal'!$B16)*AVERAGEIFS('AUX UF'!$H:$H,'AUX UF'!$G:$G,'AUX Gasto Nominal'!$B16)</f>
        <v>683903.39976587764</v>
      </c>
      <c r="H16" s="28">
        <f>SUMIFS('AUX Gasto Mensual'!$AH:$AH,'AUX Gasto Mensual'!$Z:$Z,'AUX Gasto Nominal'!$B16)*AVERAGEIFS('AUX UF'!$H:$H,'AUX UF'!$G:$G,'AUX Gasto Nominal'!$B16)</f>
        <v>0</v>
      </c>
      <c r="I16" s="28">
        <f>SUMIFS('AUX Gasto Mensual'!$AE:$AE,'AUX Gasto Mensual'!$Z:$Z,'AUX Gasto Nominal'!$B16)*AVERAGEIFS('AUX UF'!$H:$H,'AUX UF'!$G:$G,'AUX Gasto Nominal'!$B16)</f>
        <v>0</v>
      </c>
      <c r="J16" s="378">
        <f t="shared" si="1"/>
        <v>1199574.6992994728</v>
      </c>
      <c r="K16" s="378">
        <f t="shared" si="2"/>
        <v>1517183.0395018132</v>
      </c>
      <c r="L16" s="379">
        <f>K16/('AUX PIB'!D15)</f>
        <v>8.0089957052014368E-3</v>
      </c>
    </row>
    <row r="17" spans="2:12" x14ac:dyDescent="0.25">
      <c r="B17" s="30">
        <v>2019</v>
      </c>
      <c r="C17" s="28">
        <f>SUMIFS('AUX Gasto Mensual'!$AD:$AD,'AUX Gasto Mensual'!$Z:$Z,'AUX Gasto Nominal'!$B17)*AVERAGEIFS('AUX UF'!$H:$H,'AUX UF'!$G:$G,'AUX Gasto Nominal'!$B17)</f>
        <v>247950.26575009272</v>
      </c>
      <c r="D17" s="28">
        <f>SUMIFS('AUX Gasto Mensual'!$AG:$AG,'AUX Gasto Mensual'!$Z:$Z,'AUX Gasto Nominal'!$B17)*AVERAGEIFS('AUX UF'!$H:$H,'AUX UF'!$G:$G,'AUX Gasto Nominal'!$B17)</f>
        <v>85729.545118914451</v>
      </c>
      <c r="E17" s="28">
        <f t="shared" si="0"/>
        <v>333679.81086900714</v>
      </c>
      <c r="F17" s="28">
        <f>SUMIFS('AUX Gasto Mensual'!$AC:$AC,'AUX Gasto Mensual'!$Z:$Z,'AUX Gasto Nominal'!$B17)*AVERAGEIFS('AUX UF'!$H:$H,'AUX UF'!$G:$G,'AUX Gasto Nominal'!$B17)</f>
        <v>547385.35304716835</v>
      </c>
      <c r="G17" s="28">
        <f>SUMIFS('AUX Gasto Mensual'!$AF:$AF,'AUX Gasto Mensual'!$Z:$Z,'AUX Gasto Nominal'!$B17)*AVERAGEIFS('AUX UF'!$H:$H,'AUX UF'!$G:$G,'AUX Gasto Nominal'!$B17)</f>
        <v>807898.21283471945</v>
      </c>
      <c r="H17" s="28">
        <f>SUMIFS('AUX Gasto Mensual'!$AH:$AH,'AUX Gasto Mensual'!$Z:$Z,'AUX Gasto Nominal'!$B17)*AVERAGEIFS('AUX UF'!$H:$H,'AUX UF'!$G:$G,'AUX Gasto Nominal'!$B17)</f>
        <v>0</v>
      </c>
      <c r="I17" s="28">
        <f>SUMIFS('AUX Gasto Mensual'!$AE:$AE,'AUX Gasto Mensual'!$Z:$Z,'AUX Gasto Nominal'!$B17)*AVERAGEIFS('AUX UF'!$H:$H,'AUX UF'!$G:$G,'AUX Gasto Nominal'!$B17)</f>
        <v>0</v>
      </c>
      <c r="J17" s="378">
        <f t="shared" si="1"/>
        <v>1355283.5658818879</v>
      </c>
      <c r="K17" s="378">
        <f t="shared" si="2"/>
        <v>1688963.3767508951</v>
      </c>
      <c r="L17" s="379">
        <f>K17/('AUX PIB'!D16)</f>
        <v>8.6377972616481207E-3</v>
      </c>
    </row>
    <row r="18" spans="2:12" x14ac:dyDescent="0.25">
      <c r="B18" s="30">
        <v>2020</v>
      </c>
      <c r="C18" s="28">
        <f>SUMIFS('AUX Gasto Mensual'!$AD:$AD,'AUX Gasto Mensual'!$Z:$Z,'AUX Gasto Nominal'!$B18)*AVERAGEIFS('AUX UF'!$H:$H,'AUX UF'!$G:$G,'AUX Gasto Nominal'!$B18)</f>
        <v>305718.63333393034</v>
      </c>
      <c r="D18" s="28">
        <f>SUMIFS('AUX Gasto Mensual'!$AG:$AG,'AUX Gasto Mensual'!$Z:$Z,'AUX Gasto Nominal'!$B18)*AVERAGEIFS('AUX UF'!$H:$H,'AUX UF'!$G:$G,'AUX Gasto Nominal'!$B18)</f>
        <v>110721.45212611686</v>
      </c>
      <c r="E18" s="28">
        <f t="shared" si="0"/>
        <v>416440.08546004718</v>
      </c>
      <c r="F18" s="28">
        <f>SUMIFS('AUX Gasto Mensual'!$AC:$AC,'AUX Gasto Mensual'!$Z:$Z,'AUX Gasto Nominal'!$B18)*AVERAGEIFS('AUX UF'!$H:$H,'AUX UF'!$G:$G,'AUX Gasto Nominal'!$B18)</f>
        <v>727407.1482288891</v>
      </c>
      <c r="G18" s="28">
        <f>SUMIFS('AUX Gasto Mensual'!$AF:$AF,'AUX Gasto Mensual'!$Z:$Z,'AUX Gasto Nominal'!$B18)*AVERAGEIFS('AUX UF'!$H:$H,'AUX UF'!$G:$G,'AUX Gasto Nominal'!$B18)</f>
        <v>1295192.4852388627</v>
      </c>
      <c r="H18" s="28">
        <f>SUMIFS('AUX Gasto Mensual'!$AH:$AH,'AUX Gasto Mensual'!$Z:$Z,'AUX Gasto Nominal'!$B18)*AVERAGEIFS('AUX UF'!$H:$H,'AUX UF'!$G:$G,'AUX Gasto Nominal'!$B18)</f>
        <v>2.8830338939465561</v>
      </c>
      <c r="I18" s="28">
        <f>SUMIFS('AUX Gasto Mensual'!$AE:$AE,'AUX Gasto Mensual'!$Z:$Z,'AUX Gasto Nominal'!$B18)*AVERAGEIFS('AUX UF'!$H:$H,'AUX UF'!$G:$G,'AUX Gasto Nominal'!$B18)</f>
        <v>0</v>
      </c>
      <c r="J18" s="378">
        <f t="shared" si="1"/>
        <v>2022602.5165016458</v>
      </c>
      <c r="K18" s="378">
        <f t="shared" si="2"/>
        <v>2439042.6019616928</v>
      </c>
      <c r="L18" s="379">
        <f>K18/('AUX PIB'!D17)</f>
        <v>1.2118999945376043E-2</v>
      </c>
    </row>
    <row r="19" spans="2:12" x14ac:dyDescent="0.25">
      <c r="B19" s="30">
        <v>2021</v>
      </c>
      <c r="C19" s="28">
        <f>SUMIFS('AUX Gasto Mensual'!$AD:$AD,'AUX Gasto Mensual'!$Z:$Z,'AUX Gasto Nominal'!$B19)*AVERAGEIFS('AUX UF'!$H:$H,'AUX UF'!$G:$G,'AUX Gasto Nominal'!$B19)</f>
        <v>350658.34134636825</v>
      </c>
      <c r="D19" s="28">
        <f>SUMIFS('AUX Gasto Mensual'!$AG:$AG,'AUX Gasto Mensual'!$Z:$Z,'AUX Gasto Nominal'!$B19)*AVERAGEIFS('AUX UF'!$H:$H,'AUX UF'!$G:$G,'AUX Gasto Nominal'!$B19)</f>
        <v>136449.47739146321</v>
      </c>
      <c r="E19" s="28">
        <f t="shared" si="0"/>
        <v>487107.81873783143</v>
      </c>
      <c r="F19" s="28">
        <f>SUMIFS('AUX Gasto Mensual'!$AC:$AC,'AUX Gasto Mensual'!$Z:$Z,'AUX Gasto Nominal'!$B19)*AVERAGEIFS('AUX UF'!$H:$H,'AUX UF'!$G:$G,'AUX Gasto Nominal'!$B19)</f>
        <v>820739.64405269595</v>
      </c>
      <c r="G19" s="28">
        <f>SUMIFS('AUX Gasto Mensual'!$AF:$AF,'AUX Gasto Mensual'!$Z:$Z,'AUX Gasto Nominal'!$B19)*AVERAGEIFS('AUX UF'!$H:$H,'AUX UF'!$G:$G,'AUX Gasto Nominal'!$B19)</f>
        <v>1669309.514954058</v>
      </c>
      <c r="H19" s="28">
        <f>SUMIFS('AUX Gasto Mensual'!$AH:$AH,'AUX Gasto Mensual'!$Z:$Z,'AUX Gasto Nominal'!$B19)*AVERAGEIFS('AUX UF'!$H:$H,'AUX UF'!$G:$G,'AUX Gasto Nominal'!$B19)</f>
        <v>8.4361465051949445</v>
      </c>
      <c r="I19" s="28">
        <f>SUMIFS('AUX Gasto Mensual'!$AE:$AE,'AUX Gasto Mensual'!$Z:$Z,'AUX Gasto Nominal'!$B19)*AVERAGEIFS('AUX UF'!$H:$H,'AUX UF'!$G:$G,'AUX Gasto Nominal'!$B19)</f>
        <v>0</v>
      </c>
      <c r="J19" s="378">
        <f t="shared" si="1"/>
        <v>2490057.5951532591</v>
      </c>
      <c r="K19" s="378">
        <f t="shared" si="2"/>
        <v>2977165.4138910905</v>
      </c>
      <c r="L19" s="379">
        <f>K19/('AUX PIB'!D18)</f>
        <v>1.2435004366642985E-2</v>
      </c>
    </row>
    <row r="20" spans="2:12" x14ac:dyDescent="0.25">
      <c r="B20" s="30">
        <v>2022</v>
      </c>
      <c r="C20" s="28">
        <f>SUMIFS('AUX Gasto Mensual'!$AD:$AD,'AUX Gasto Mensual'!$Z:$Z,'AUX Gasto Nominal'!$B20)*AVERAGEIFS('AUX UF'!$H:$H,'AUX UF'!$G:$G,'AUX Gasto Nominal'!$B20)</f>
        <v>417088.08533423336</v>
      </c>
      <c r="D20" s="28">
        <f>SUMIFS('AUX Gasto Mensual'!$AG:$AG,'AUX Gasto Mensual'!$Z:$Z,'AUX Gasto Nominal'!$B20)*AVERAGEIFS('AUX UF'!$H:$H,'AUX UF'!$G:$G,'AUX Gasto Nominal'!$B20)</f>
        <v>173851.93422254323</v>
      </c>
      <c r="E20" s="28">
        <f t="shared" si="0"/>
        <v>590940.01955677662</v>
      </c>
      <c r="F20" s="380">
        <f>SUMIFS('AUX Gasto Mensual'!$AC:$AC,'AUX Gasto Mensual'!$Z:$Z,'AUX Gasto Nominal'!$B20,'AUX Gasto Mensual'!$AA:$AA,'AUX Gasto Mensual'!$AA$169)*AVERAGEIFS('AUX UF'!$H:$H,'AUX UF'!$G:$G,'AUX Gasto Nominal'!$B20)</f>
        <v>77539.154583588068</v>
      </c>
      <c r="G20" s="28">
        <f>SUMIFS('AUX Gasto Mensual'!$AF:$AF,'AUX Gasto Mensual'!$Z:$Z,'AUX Gasto Nominal'!$B20)*AVERAGEIFS('AUX UF'!$H:$H,'AUX UF'!$G:$G,'AUX Gasto Nominal'!$B20)</f>
        <v>623848.71984193858</v>
      </c>
      <c r="H20" s="28">
        <f>SUMIFS('AUX Gasto Mensual'!$AH:$AH,'AUX Gasto Mensual'!$Z:$Z,'AUX Gasto Nominal'!$B20)*AVERAGEIFS('AUX UF'!$H:$H,'AUX UF'!$G:$G,'AUX Gasto Nominal'!$B20)</f>
        <v>1.099914331250879</v>
      </c>
      <c r="I20" s="380">
        <f>SUMIFS('AUX Gasto Mensual'!$AE:$AE,'AUX Gasto Mensual'!$Z:$Z,'AUX Gasto Nominal'!$B20)*AVERAGEIFS('AUX UF'!$H:$H,'AUX UF'!$G:$G,'AUX Gasto Nominal'!$B20)+SUMIFS('AUX Gasto Mensual'!$AC:$AC,'AUX Gasto Mensual'!$Z:$Z,'AUX Gasto Nominal'!$B20)*AVERAGEIFS('AUX UF'!$H:$H,'AUX UF'!$G:$G,'AUX Gasto Nominal'!$B20)-F20</f>
        <v>3175441.1085360562</v>
      </c>
      <c r="J20" s="378">
        <f t="shared" si="1"/>
        <v>3876830.0828759139</v>
      </c>
      <c r="K20" s="378">
        <f t="shared" si="2"/>
        <v>4467770.1024326906</v>
      </c>
      <c r="L20" s="379">
        <f>K20/('AUX PIB'!D19)</f>
        <v>1.6983492983589442E-2</v>
      </c>
    </row>
    <row r="21" spans="2:12" x14ac:dyDescent="0.25">
      <c r="B21" s="30">
        <v>2023</v>
      </c>
      <c r="C21" s="28">
        <f>SUMIFS('AUX Gasto Mensual'!$AD:$AD,'AUX Gasto Mensual'!$Z:$Z,'AUX Gasto Nominal'!$B21)*AVERAGEIFS('AUX UF'!$H:$H,'AUX UF'!$G:$G,'AUX Gasto Nominal'!$B21)</f>
        <v>465965.15190814447</v>
      </c>
      <c r="D21" s="28">
        <f>SUMIFS('AUX Gasto Mensual'!$AG:$AG,'AUX Gasto Mensual'!$Z:$Z,'AUX Gasto Nominal'!$B21)*AVERAGEIFS('AUX UF'!$H:$H,'AUX UF'!$G:$G,'AUX Gasto Nominal'!$B21)</f>
        <v>197440.97772120396</v>
      </c>
      <c r="E21" s="28">
        <f t="shared" si="0"/>
        <v>663406.1296293484</v>
      </c>
      <c r="F21" s="380">
        <f>SUMIFS('AUX Gasto Mensual'!$AC:$AC,'AUX Gasto Mensual'!$Z:$Z,'AUX Gasto Nominal'!$B21,'AUX Gasto Mensual'!$AA:$AA,'AUX Gasto Mensual'!$AA$169)*$O$3</f>
        <v>0</v>
      </c>
      <c r="G21" s="28">
        <f>SUMIFS('AUX Gasto Mensual'!$AF:$AF,'AUX Gasto Mensual'!$Z:$Z,'AUX Gasto Nominal'!$B21)*AVERAGEIFS('AUX UF'!$H:$H,'AUX UF'!$G:$G,'AUX Gasto Nominal'!$B21)</f>
        <v>461365.74419412453</v>
      </c>
      <c r="H21" s="28">
        <f>SUMIFS('AUX Gasto Mensual'!$AH:$AH,'AUX Gasto Mensual'!$Z:$Z,'AUX Gasto Nominal'!$B21)*AVERAGEIFS('AUX UF'!$H:$H,'AUX UF'!$G:$G,'AUX Gasto Nominal'!$B21)</f>
        <v>0</v>
      </c>
      <c r="I21" s="380">
        <f>SUMIFS('AUX Gasto Mensual'!$AE:$AE,'AUX Gasto Mensual'!$Z:$Z,'AUX Gasto Nominal'!$B21)*AVERAGEIFS('AUX UF'!$H:$H,'AUX UF'!$G:$G,'AUX Gasto Nominal'!$B21)+SUMIFS('AUX Gasto Mensual'!$AC:$AC,'AUX Gasto Mensual'!$Z:$Z,'AUX Gasto Nominal'!$B21)*AVERAGEIFS('AUX UF'!$H:$H,'AUX UF'!$G:$G,'AUX Gasto Nominal'!$B21)-F21</f>
        <v>4612256.1314684348</v>
      </c>
      <c r="J21" s="378">
        <f t="shared" si="1"/>
        <v>5073621.8756625596</v>
      </c>
      <c r="K21" s="378">
        <f t="shared" si="2"/>
        <v>5737028.005291908</v>
      </c>
      <c r="L21" s="379">
        <f>K21/('AUX PIB'!D20)</f>
        <v>2.0354357365197768E-2</v>
      </c>
    </row>
    <row r="22" spans="2:12" x14ac:dyDescent="0.25">
      <c r="B22" s="30">
        <v>2024</v>
      </c>
      <c r="C22" s="28">
        <f>SUMIFS('AUX Gasto Mensual'!$AD:$AD,'AUX Gasto Mensual'!$Z:$Z,'AUX Gasto Nominal'!$B22)*AVERAGEIFS('AUX UF'!$H:$H,'AUX UF'!$G:$G,'AUX Gasto Nominal'!$B22)</f>
        <v>505177.00093380682</v>
      </c>
      <c r="D22" s="28">
        <f>SUMIFS('AUX Gasto Mensual'!$AG:$AG,'AUX Gasto Mensual'!$Z:$Z,'AUX Gasto Nominal'!$B22)*AVERAGEIFS('AUX UF'!$H:$H,'AUX UF'!$G:$G,'AUX Gasto Nominal'!$B22)</f>
        <v>209976.90959545976</v>
      </c>
      <c r="E22" s="28">
        <f>C22+D22</f>
        <v>715153.91052926658</v>
      </c>
      <c r="F22" s="380">
        <f>SUMIFS('AUX Gasto Mensual'!$AC:$AC,'AUX Gasto Mensual'!$Z:$Z,'AUX Gasto Nominal'!$B22,'AUX Gasto Mensual'!$AA:$AA,'AUX Gasto Mensual'!$AA$169)*$O$3</f>
        <v>0</v>
      </c>
      <c r="G22" s="28">
        <f>SUMIFS('AUX Gasto Mensual'!$AF:$AF,'AUX Gasto Mensual'!$Z:$Z,'AUX Gasto Nominal'!$B22)*AVERAGEIFS('AUX UF'!$H:$H,'AUX UF'!$G:$G,'AUX Gasto Nominal'!$B22)</f>
        <v>476335.15413484594</v>
      </c>
      <c r="H22" s="28">
        <f>SUMIFS('AUX Gasto Mensual'!$AH:$AH,'AUX Gasto Mensual'!$Z:$Z,'AUX Gasto Nominal'!$B22)*AVERAGEIFS('AUX UF'!$H:$H,'AUX UF'!$G:$G,'AUX Gasto Nominal'!$B22)</f>
        <v>0</v>
      </c>
      <c r="I22" s="380">
        <f>SUMIFS('AUX Gasto Mensual'!$AE:$AE,'AUX Gasto Mensual'!$Z:$Z,'AUX Gasto Nominal'!$B22)*AVERAGEIFS('AUX UF'!$H:$H,'AUX UF'!$G:$G,'AUX Gasto Nominal'!$B22)+SUMIFS('AUX Gasto Mensual'!$AC:$AC,'AUX Gasto Mensual'!$Z:$Z,'AUX Gasto Nominal'!$B22)*AVERAGEIFS('AUX UF'!$H:$H,'AUX UF'!$G:$G,'AUX Gasto Nominal'!$B22)-F22</f>
        <v>5184778.3815618362</v>
      </c>
      <c r="J22" s="378">
        <f t="shared" si="1"/>
        <v>5661113.5356966825</v>
      </c>
      <c r="K22" s="378">
        <f t="shared" si="2"/>
        <v>6376267.4462259486</v>
      </c>
      <c r="L22" s="379">
        <f>K22/('AUX PIB'!D21)</f>
        <v>2.0460961625322637E-2</v>
      </c>
    </row>
    <row r="23" spans="2:12" x14ac:dyDescent="0.25">
      <c r="B23" s="30">
        <v>2025</v>
      </c>
      <c r="C23" s="28">
        <f>SUMIFS('AUX Gasto Mensual'!$AD:$AD,'AUX Gasto Mensual'!$Z:$Z,'AUX Gasto Nominal'!$B23)*AVERAGEIFS('AUX UF'!$H:$H,'AUX UF'!$G:$G,'AUX Gasto Nominal'!$B23)</f>
        <v>564084.9441296194</v>
      </c>
      <c r="D23" s="28">
        <f>SUMIFS('AUX Gasto Mensual'!$AG:$AG,'AUX Gasto Mensual'!$Z:$Z,'AUX Gasto Nominal'!$B23)*AVERAGEIFS('AUX UF'!$H:$H,'AUX UF'!$G:$G,'AUX Gasto Nominal'!$B23)</f>
        <v>236307.02936431734</v>
      </c>
      <c r="E23" s="28">
        <f>C23+D23</f>
        <v>800391.9734939367</v>
      </c>
      <c r="F23" s="380">
        <f>SUMIFS('AUX Gasto Mensual'!$AC:$AC,'AUX Gasto Mensual'!$Z:$Z,'AUX Gasto Nominal'!$B23,'AUX Gasto Mensual'!$AA:$AA,'AUX Gasto Mensual'!$AA$169)*$O$3</f>
        <v>0</v>
      </c>
      <c r="G23" s="28">
        <f>SUMIFS('AUX Gasto Mensual'!$AF:$AF,'AUX Gasto Mensual'!$Z:$Z,'AUX Gasto Nominal'!$B23)*AVERAGEIFS('AUX UF'!$H:$H,'AUX UF'!$G:$G,'AUX Gasto Nominal'!$B23)</f>
        <v>481381.32755965431</v>
      </c>
      <c r="H23" s="28">
        <f>SUMIFS('AUX Gasto Mensual'!$AH:$AH,'AUX Gasto Mensual'!$Z:$Z,'AUX Gasto Nominal'!$B23)*AVERAGEIFS('AUX UF'!$H:$H,'AUX UF'!$G:$G,'AUX Gasto Nominal'!$B23)</f>
        <v>0</v>
      </c>
      <c r="I23" s="380">
        <f>SUMIFS('AUX Gasto Mensual'!$AE:$AE,'AUX Gasto Mensual'!$Z:$Z,'AUX Gasto Nominal'!$B23)*AVERAGEIFS('AUX UF'!$H:$H,'AUX UF'!$G:$G,'AUX Gasto Nominal'!$B23)+SUMIFS('AUX Gasto Mensual'!$AC:$AC,'AUX Gasto Mensual'!$Z:$Z,'AUX Gasto Nominal'!$B23)*AVERAGEIFS('AUX UF'!$H:$H,'AUX UF'!$G:$G,'AUX Gasto Nominal'!$B23)-F23</f>
        <v>5779355.3573955195</v>
      </c>
      <c r="J23" s="378">
        <f t="shared" ref="J23" si="3">SUM(F23:I23)</f>
        <v>6260736.6849551741</v>
      </c>
      <c r="K23" s="378">
        <f t="shared" ref="K23" si="4">E23+J23</f>
        <v>7061128.6584491106</v>
      </c>
      <c r="L23" s="379">
        <f>K23/('AUX PIB'!D22)</f>
        <v>2.1047775159991507E-2</v>
      </c>
    </row>
    <row r="24" spans="2:12" ht="34.9" customHeight="1" x14ac:dyDescent="0.25">
      <c r="B24" s="617" t="s">
        <v>687</v>
      </c>
      <c r="C24" s="521"/>
      <c r="D24" s="521"/>
      <c r="E24" s="521"/>
      <c r="F24" s="521"/>
      <c r="G24" s="521"/>
      <c r="H24" s="521"/>
      <c r="I24" s="521"/>
      <c r="J24" s="521"/>
      <c r="K24" s="521"/>
      <c r="L24" s="521"/>
    </row>
  </sheetData>
  <mergeCells count="1">
    <mergeCell ref="B24:L24"/>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0EECA-6566-4FC0-A373-37C94D197EDA}">
  <sheetPr>
    <tabColor theme="3" tint="-0.249977111117893"/>
  </sheetPr>
  <dimension ref="B2:O285"/>
  <sheetViews>
    <sheetView showGridLines="0" workbookViewId="0">
      <pane xSplit="3" ySplit="4" topLeftCell="D5" activePane="bottomRight" state="frozen"/>
      <selection activeCell="L14" sqref="L14"/>
      <selection pane="topRight" activeCell="L14" sqref="L14"/>
      <selection pane="bottomLeft" activeCell="L14" sqref="L14"/>
      <selection pane="bottomRight" activeCell="D5" sqref="D5"/>
    </sheetView>
    <sheetView workbookViewId="1"/>
  </sheetViews>
  <sheetFormatPr baseColWidth="10" defaultRowHeight="15" x14ac:dyDescent="0.25"/>
  <cols>
    <col min="1" max="1" width="6.5703125" customWidth="1"/>
    <col min="2" max="2" width="11.42578125" customWidth="1"/>
  </cols>
  <sheetData>
    <row r="2" spans="2:15" ht="15.75" x14ac:dyDescent="0.25">
      <c r="B2" s="374" t="s">
        <v>625</v>
      </c>
      <c r="H2" s="374" t="s">
        <v>626</v>
      </c>
      <c r="O2" s="377"/>
    </row>
    <row r="4" spans="2:15" ht="24" customHeight="1" x14ac:dyDescent="0.25">
      <c r="B4" s="52" t="s">
        <v>6</v>
      </c>
      <c r="C4" s="52" t="s">
        <v>64</v>
      </c>
      <c r="D4" s="52" t="s">
        <v>621</v>
      </c>
      <c r="E4" s="52" t="s">
        <v>622</v>
      </c>
      <c r="F4" s="52" t="s">
        <v>623</v>
      </c>
      <c r="H4" s="52" t="s">
        <v>6</v>
      </c>
      <c r="I4" s="52" t="s">
        <v>64</v>
      </c>
      <c r="J4" s="430" t="s">
        <v>598</v>
      </c>
      <c r="K4" s="52" t="s">
        <v>621</v>
      </c>
      <c r="L4" s="52" t="s">
        <v>622</v>
      </c>
      <c r="M4" s="52" t="s">
        <v>623</v>
      </c>
    </row>
    <row r="5" spans="2:15" x14ac:dyDescent="0.25">
      <c r="B5" s="433">
        <f>YEAR(C5)</f>
        <v>2014</v>
      </c>
      <c r="C5" s="434">
        <v>41974</v>
      </c>
      <c r="D5" s="428">
        <v>143832</v>
      </c>
      <c r="E5" s="428">
        <v>95888</v>
      </c>
      <c r="F5" s="428">
        <v>37288</v>
      </c>
      <c r="G5" s="435"/>
      <c r="H5" s="433">
        <f>B5</f>
        <v>2014</v>
      </c>
      <c r="I5" s="436">
        <f>C5</f>
        <v>41974</v>
      </c>
      <c r="J5" s="428">
        <f>VLOOKUP(I5,'AUX UF'!$B$6:$C$1048576,2,FALSE)</f>
        <v>24617.623870967702</v>
      </c>
      <c r="K5" s="432">
        <f>D5/$J5</f>
        <v>5.8426434961347091</v>
      </c>
      <c r="L5" s="432">
        <f t="shared" ref="L5:M20" si="0">E5/$J5</f>
        <v>3.8950956640898058</v>
      </c>
      <c r="M5" s="432">
        <f t="shared" si="0"/>
        <v>1.5146872092710317</v>
      </c>
      <c r="O5" t="s">
        <v>624</v>
      </c>
    </row>
    <row r="6" spans="2:15" x14ac:dyDescent="0.25">
      <c r="B6" s="433">
        <f t="shared" ref="B6:B69" si="1">YEAR(C6)</f>
        <v>2015</v>
      </c>
      <c r="C6" s="434">
        <v>42005</v>
      </c>
      <c r="D6" s="428">
        <v>144503</v>
      </c>
      <c r="E6" s="428">
        <v>96336</v>
      </c>
      <c r="F6" s="428">
        <v>37693</v>
      </c>
      <c r="G6" s="435"/>
      <c r="H6" s="433">
        <f t="shared" ref="H6:H69" si="2">B6</f>
        <v>2015</v>
      </c>
      <c r="I6" s="436">
        <f t="shared" ref="I6:I69" si="3">C6</f>
        <v>42005</v>
      </c>
      <c r="J6" s="428">
        <f>VLOOKUP(I6,'AUX UF'!$B$6:$C$1048576,2,FALSE)</f>
        <v>24601.139032258099</v>
      </c>
      <c r="K6" s="432">
        <f t="shared" ref="K6:K69" si="4">D6/$J6</f>
        <v>5.8738337200778101</v>
      </c>
      <c r="L6" s="432">
        <f t="shared" si="0"/>
        <v>3.9159162457348007</v>
      </c>
      <c r="M6" s="432">
        <f t="shared" si="0"/>
        <v>1.5321648298713029</v>
      </c>
      <c r="O6" s="429" t="s">
        <v>670</v>
      </c>
    </row>
    <row r="7" spans="2:15" x14ac:dyDescent="0.25">
      <c r="B7" s="433">
        <f t="shared" si="1"/>
        <v>2015</v>
      </c>
      <c r="C7" s="434">
        <v>42036</v>
      </c>
      <c r="D7" s="428">
        <v>144411</v>
      </c>
      <c r="E7" s="428">
        <v>96274</v>
      </c>
      <c r="F7" s="428">
        <v>37361</v>
      </c>
      <c r="G7" s="435"/>
      <c r="H7" s="433">
        <f t="shared" si="2"/>
        <v>2015</v>
      </c>
      <c r="I7" s="436">
        <f t="shared" si="3"/>
        <v>42036</v>
      </c>
      <c r="J7" s="428">
        <f>VLOOKUP(I7,'AUX UF'!$B$6:$C$1048576,2,FALSE)</f>
        <v>24538.6128571429</v>
      </c>
      <c r="K7" s="432">
        <f t="shared" si="4"/>
        <v>5.8850514835830934</v>
      </c>
      <c r="L7" s="432">
        <f t="shared" si="0"/>
        <v>3.9233676557220623</v>
      </c>
      <c r="M7" s="432">
        <f t="shared" si="0"/>
        <v>1.5225392004635931</v>
      </c>
    </row>
    <row r="8" spans="2:15" x14ac:dyDescent="0.25">
      <c r="B8" s="433">
        <f t="shared" si="1"/>
        <v>2015</v>
      </c>
      <c r="C8" s="434">
        <v>42064</v>
      </c>
      <c r="D8" s="428">
        <v>145241</v>
      </c>
      <c r="E8" s="428">
        <v>96827</v>
      </c>
      <c r="F8" s="428">
        <v>37460</v>
      </c>
      <c r="G8" s="435"/>
      <c r="H8" s="433">
        <f t="shared" si="2"/>
        <v>2015</v>
      </c>
      <c r="I8" s="436">
        <f t="shared" si="3"/>
        <v>42064</v>
      </c>
      <c r="J8" s="428">
        <f>VLOOKUP(I8,'AUX UF'!$B$6:$C$1048576,2,FALSE)</f>
        <v>24577.931290322598</v>
      </c>
      <c r="K8" s="432">
        <f t="shared" si="4"/>
        <v>5.9094070320388479</v>
      </c>
      <c r="L8" s="432">
        <f t="shared" si="0"/>
        <v>3.9395911257236285</v>
      </c>
      <c r="M8" s="432">
        <f t="shared" si="0"/>
        <v>1.5241315291148867</v>
      </c>
      <c r="O8" s="55"/>
    </row>
    <row r="9" spans="2:15" x14ac:dyDescent="0.25">
      <c r="B9" s="433">
        <f t="shared" si="1"/>
        <v>2015</v>
      </c>
      <c r="C9" s="434">
        <v>42095</v>
      </c>
      <c r="D9" s="428">
        <v>145942</v>
      </c>
      <c r="E9" s="428">
        <v>97295</v>
      </c>
      <c r="F9" s="428">
        <v>37630</v>
      </c>
      <c r="G9" s="435"/>
      <c r="H9" s="433">
        <f t="shared" si="2"/>
        <v>2015</v>
      </c>
      <c r="I9" s="436">
        <f t="shared" si="3"/>
        <v>42095</v>
      </c>
      <c r="J9" s="428">
        <f>VLOOKUP(I9,'AUX UF'!$B$6:$C$1048576,2,FALSE)</f>
        <v>24685.425999999999</v>
      </c>
      <c r="K9" s="432">
        <f t="shared" si="4"/>
        <v>5.9120713574074033</v>
      </c>
      <c r="L9" s="432">
        <f t="shared" si="0"/>
        <v>3.9413944081823828</v>
      </c>
      <c r="M9" s="432">
        <f t="shared" si="0"/>
        <v>1.5243812280168874</v>
      </c>
    </row>
    <row r="10" spans="2:15" x14ac:dyDescent="0.25">
      <c r="B10" s="433">
        <f t="shared" si="1"/>
        <v>2015</v>
      </c>
      <c r="C10" s="434">
        <v>42125</v>
      </c>
      <c r="D10" s="428">
        <v>146160</v>
      </c>
      <c r="E10" s="428">
        <v>97440</v>
      </c>
      <c r="F10" s="428">
        <v>37680</v>
      </c>
      <c r="G10" s="435"/>
      <c r="H10" s="433">
        <f t="shared" si="2"/>
        <v>2015</v>
      </c>
      <c r="I10" s="436">
        <f t="shared" si="3"/>
        <v>42125</v>
      </c>
      <c r="J10" s="428">
        <f>VLOOKUP(I10,'AUX UF'!$B$6:$C$1048576,2,FALSE)</f>
        <v>24832.6138709677</v>
      </c>
      <c r="K10" s="432">
        <f t="shared" si="4"/>
        <v>5.8858081053995912</v>
      </c>
      <c r="L10" s="432">
        <f t="shared" si="0"/>
        <v>3.9238720702663938</v>
      </c>
      <c r="M10" s="432">
        <f t="shared" si="0"/>
        <v>1.517359396630108</v>
      </c>
    </row>
    <row r="11" spans="2:15" x14ac:dyDescent="0.25">
      <c r="B11" s="433">
        <f t="shared" si="1"/>
        <v>2015</v>
      </c>
      <c r="C11" s="434">
        <v>42156</v>
      </c>
      <c r="D11" s="428">
        <v>146398</v>
      </c>
      <c r="E11" s="428">
        <v>97599</v>
      </c>
      <c r="F11" s="428">
        <v>37514</v>
      </c>
      <c r="G11" s="435"/>
      <c r="H11" s="433">
        <f t="shared" si="2"/>
        <v>2015</v>
      </c>
      <c r="I11" s="436">
        <f t="shared" si="3"/>
        <v>42156</v>
      </c>
      <c r="J11" s="428">
        <f>VLOOKUP(I11,'AUX UF'!$B$6:$C$1048576,2,FALSE)</f>
        <v>24955.065666666698</v>
      </c>
      <c r="K11" s="432">
        <f t="shared" si="4"/>
        <v>5.8664642263614084</v>
      </c>
      <c r="L11" s="432">
        <f t="shared" si="0"/>
        <v>3.9109895082490684</v>
      </c>
      <c r="M11" s="432">
        <f t="shared" si="0"/>
        <v>1.5032619228932218</v>
      </c>
    </row>
    <row r="12" spans="2:15" x14ac:dyDescent="0.25">
      <c r="B12" s="433">
        <f t="shared" si="1"/>
        <v>2015</v>
      </c>
      <c r="C12" s="434">
        <v>42186</v>
      </c>
      <c r="D12" s="428">
        <v>147318</v>
      </c>
      <c r="E12" s="428">
        <v>98212</v>
      </c>
      <c r="F12" s="428">
        <v>37926</v>
      </c>
      <c r="G12" s="435"/>
      <c r="H12" s="433">
        <f t="shared" si="2"/>
        <v>2015</v>
      </c>
      <c r="I12" s="436">
        <f t="shared" si="3"/>
        <v>42186</v>
      </c>
      <c r="J12" s="428">
        <f>VLOOKUP(I12,'AUX UF'!$B$6:$C$1048576,2,FALSE)</f>
        <v>25028.869354838698</v>
      </c>
      <c r="K12" s="432">
        <f t="shared" si="4"/>
        <v>5.8859230879128699</v>
      </c>
      <c r="L12" s="432">
        <f t="shared" si="0"/>
        <v>3.9239487252752467</v>
      </c>
      <c r="M12" s="432">
        <f t="shared" si="0"/>
        <v>1.5152901820020874</v>
      </c>
    </row>
    <row r="13" spans="2:15" x14ac:dyDescent="0.25">
      <c r="B13" s="433">
        <f t="shared" si="1"/>
        <v>2015</v>
      </c>
      <c r="C13" s="434">
        <v>42217</v>
      </c>
      <c r="D13" s="428">
        <v>148974</v>
      </c>
      <c r="E13" s="428">
        <v>99316</v>
      </c>
      <c r="F13" s="428">
        <v>38716</v>
      </c>
      <c r="G13" s="435"/>
      <c r="H13" s="433">
        <f t="shared" si="2"/>
        <v>2015</v>
      </c>
      <c r="I13" s="436">
        <f t="shared" si="3"/>
        <v>42217</v>
      </c>
      <c r="J13" s="428">
        <f>VLOOKUP(I13,'AUX UF'!$B$6:$C$1048576,2,FALSE)</f>
        <v>25144.666774193502</v>
      </c>
      <c r="K13" s="432">
        <f t="shared" si="4"/>
        <v>5.9246758502640064</v>
      </c>
      <c r="L13" s="432">
        <f t="shared" si="0"/>
        <v>3.9497839001760044</v>
      </c>
      <c r="M13" s="432">
        <f t="shared" si="0"/>
        <v>1.5397300885981533</v>
      </c>
    </row>
    <row r="14" spans="2:15" x14ac:dyDescent="0.25">
      <c r="B14" s="433">
        <f t="shared" si="1"/>
        <v>2015</v>
      </c>
      <c r="C14" s="434">
        <v>42248</v>
      </c>
      <c r="D14" s="428">
        <v>150269</v>
      </c>
      <c r="E14" s="428">
        <v>100179</v>
      </c>
      <c r="F14" s="428">
        <v>39373</v>
      </c>
      <c r="G14" s="435"/>
      <c r="H14" s="433">
        <f t="shared" si="2"/>
        <v>2015</v>
      </c>
      <c r="I14" s="436">
        <f t="shared" si="3"/>
        <v>42248</v>
      </c>
      <c r="J14" s="428">
        <f>VLOOKUP(I14,'AUX UF'!$B$6:$C$1048576,2,FALSE)</f>
        <v>25264.759333333299</v>
      </c>
      <c r="K14" s="432">
        <f t="shared" si="4"/>
        <v>5.9477708858180645</v>
      </c>
      <c r="L14" s="432">
        <f t="shared" si="0"/>
        <v>3.9651673969372783</v>
      </c>
      <c r="M14" s="432">
        <f t="shared" si="0"/>
        <v>1.558415794923202</v>
      </c>
    </row>
    <row r="15" spans="2:15" x14ac:dyDescent="0.25">
      <c r="B15" s="433">
        <f t="shared" si="1"/>
        <v>2015</v>
      </c>
      <c r="C15" s="434">
        <v>42278</v>
      </c>
      <c r="D15" s="428">
        <v>151263</v>
      </c>
      <c r="E15" s="428">
        <v>100842</v>
      </c>
      <c r="F15" s="428">
        <v>39832</v>
      </c>
      <c r="G15" s="435"/>
      <c r="H15" s="433">
        <f t="shared" si="2"/>
        <v>2015</v>
      </c>
      <c r="I15" s="436">
        <f t="shared" si="3"/>
        <v>42278</v>
      </c>
      <c r="J15" s="428">
        <f>VLOOKUP(I15,'AUX UF'!$B$6:$C$1048576,2,FALSE)</f>
        <v>25426.518064516102</v>
      </c>
      <c r="K15" s="432">
        <f t="shared" si="4"/>
        <v>5.949025329232736</v>
      </c>
      <c r="L15" s="432">
        <f t="shared" si="0"/>
        <v>3.966016886155157</v>
      </c>
      <c r="M15" s="432">
        <f t="shared" si="0"/>
        <v>1.566553465910357</v>
      </c>
    </row>
    <row r="16" spans="2:15" x14ac:dyDescent="0.25">
      <c r="B16" s="433">
        <f t="shared" si="1"/>
        <v>2015</v>
      </c>
      <c r="C16" s="434">
        <v>42309</v>
      </c>
      <c r="D16" s="428">
        <v>151669</v>
      </c>
      <c r="E16" s="428">
        <v>101113</v>
      </c>
      <c r="F16" s="428">
        <v>40093</v>
      </c>
      <c r="G16" s="435"/>
      <c r="H16" s="433">
        <f t="shared" si="2"/>
        <v>2015</v>
      </c>
      <c r="I16" s="436">
        <f t="shared" si="3"/>
        <v>42309</v>
      </c>
      <c r="J16" s="428">
        <f>VLOOKUP(I16,'AUX UF'!$B$6:$C$1048576,2,FALSE)</f>
        <v>25548.234333333301</v>
      </c>
      <c r="K16" s="432">
        <f t="shared" si="4"/>
        <v>5.9365746384326208</v>
      </c>
      <c r="L16" s="432">
        <f t="shared" si="0"/>
        <v>3.9577294728378081</v>
      </c>
      <c r="M16" s="432">
        <f t="shared" si="0"/>
        <v>1.5693061006446871</v>
      </c>
    </row>
    <row r="17" spans="2:13" x14ac:dyDescent="0.25">
      <c r="B17" s="433">
        <f t="shared" si="1"/>
        <v>2015</v>
      </c>
      <c r="C17" s="434">
        <v>42339</v>
      </c>
      <c r="D17" s="428">
        <v>151417</v>
      </c>
      <c r="E17" s="428">
        <v>100944</v>
      </c>
      <c r="F17" s="428">
        <v>39854</v>
      </c>
      <c r="G17" s="435"/>
      <c r="H17" s="433">
        <f t="shared" si="2"/>
        <v>2015</v>
      </c>
      <c r="I17" s="436">
        <f t="shared" si="3"/>
        <v>42339</v>
      </c>
      <c r="J17" s="428">
        <f>VLOOKUP(I17,'AUX UF'!$B$6:$C$1048576,2,FALSE)</f>
        <v>25625.130645161302</v>
      </c>
      <c r="K17" s="432">
        <f t="shared" si="4"/>
        <v>5.9089259718014944</v>
      </c>
      <c r="L17" s="432">
        <f t="shared" si="0"/>
        <v>3.9392579650734727</v>
      </c>
      <c r="M17" s="432">
        <f t="shared" si="0"/>
        <v>1.5552701194725609</v>
      </c>
    </row>
    <row r="18" spans="2:13" x14ac:dyDescent="0.25">
      <c r="B18" s="433">
        <f t="shared" si="1"/>
        <v>2016</v>
      </c>
      <c r="C18" s="434">
        <v>42370</v>
      </c>
      <c r="D18" s="428">
        <v>152191</v>
      </c>
      <c r="E18" s="428">
        <v>101460</v>
      </c>
      <c r="F18" s="428">
        <v>39962</v>
      </c>
      <c r="G18" s="435"/>
      <c r="H18" s="433">
        <f t="shared" si="2"/>
        <v>2016</v>
      </c>
      <c r="I18" s="436">
        <f t="shared" si="3"/>
        <v>42370</v>
      </c>
      <c r="J18" s="428">
        <f>VLOOKUP(I18,'AUX UF'!$B$6:$C$1048576,2,FALSE)</f>
        <v>25629.09</v>
      </c>
      <c r="K18" s="432">
        <f t="shared" si="4"/>
        <v>5.9382131788526245</v>
      </c>
      <c r="L18" s="432">
        <f t="shared" si="0"/>
        <v>3.9587827737933732</v>
      </c>
      <c r="M18" s="432">
        <f t="shared" si="0"/>
        <v>1.5592438124022352</v>
      </c>
    </row>
    <row r="19" spans="2:13" x14ac:dyDescent="0.25">
      <c r="B19" s="433">
        <f t="shared" si="1"/>
        <v>2016</v>
      </c>
      <c r="C19" s="434">
        <v>42401</v>
      </c>
      <c r="D19" s="428">
        <v>151633</v>
      </c>
      <c r="E19" s="428">
        <v>101089</v>
      </c>
      <c r="F19" s="428">
        <v>39338</v>
      </c>
      <c r="G19" s="435"/>
      <c r="H19" s="433">
        <f t="shared" si="2"/>
        <v>2016</v>
      </c>
      <c r="I19" s="436">
        <f t="shared" si="3"/>
        <v>42401</v>
      </c>
      <c r="J19" s="428">
        <f>VLOOKUP(I19,'AUX UF'!$B$6:$C$1048576,2,FALSE)</f>
        <v>25661.046551724099</v>
      </c>
      <c r="K19" s="432">
        <f t="shared" si="4"/>
        <v>5.9090731040278701</v>
      </c>
      <c r="L19" s="432">
        <f t="shared" si="0"/>
        <v>3.9393950592092315</v>
      </c>
      <c r="M19" s="432">
        <f t="shared" si="0"/>
        <v>1.5329850215075107</v>
      </c>
    </row>
    <row r="20" spans="2:13" x14ac:dyDescent="0.25">
      <c r="B20" s="433">
        <f t="shared" si="1"/>
        <v>2016</v>
      </c>
      <c r="C20" s="434">
        <v>42430</v>
      </c>
      <c r="D20" s="428">
        <v>151898</v>
      </c>
      <c r="E20" s="428">
        <v>101265</v>
      </c>
      <c r="F20" s="428">
        <v>39272</v>
      </c>
      <c r="G20" s="435"/>
      <c r="H20" s="433">
        <f t="shared" si="2"/>
        <v>2016</v>
      </c>
      <c r="I20" s="436">
        <f t="shared" si="3"/>
        <v>42430</v>
      </c>
      <c r="J20" s="428">
        <f>VLOOKUP(I20,'AUX UF'!$B$6:$C$1048576,2,FALSE)</f>
        <v>25772.425161290299</v>
      </c>
      <c r="K20" s="432">
        <f t="shared" si="4"/>
        <v>5.8938186472318463</v>
      </c>
      <c r="L20" s="432">
        <f t="shared" si="0"/>
        <v>3.9291994977677978</v>
      </c>
      <c r="M20" s="432">
        <f t="shared" si="0"/>
        <v>1.5237991672970617</v>
      </c>
    </row>
    <row r="21" spans="2:13" x14ac:dyDescent="0.25">
      <c r="B21" s="433">
        <f t="shared" si="1"/>
        <v>2016</v>
      </c>
      <c r="C21" s="434">
        <v>42461</v>
      </c>
      <c r="D21" s="428">
        <v>152034</v>
      </c>
      <c r="E21" s="428">
        <v>101356</v>
      </c>
      <c r="F21" s="428">
        <v>39143</v>
      </c>
      <c r="G21" s="435"/>
      <c r="H21" s="433">
        <f t="shared" si="2"/>
        <v>2016</v>
      </c>
      <c r="I21" s="436">
        <f t="shared" si="3"/>
        <v>42461</v>
      </c>
      <c r="J21" s="428">
        <f>VLOOKUP(I21,'AUX UF'!$B$6:$C$1048576,2,FALSE)</f>
        <v>25858.011666666702</v>
      </c>
      <c r="K21" s="432">
        <f t="shared" si="4"/>
        <v>5.879570400070067</v>
      </c>
      <c r="L21" s="432">
        <f t="shared" ref="L21:L84" si="5">E21/$J21</f>
        <v>3.9197136000467112</v>
      </c>
      <c r="M21" s="432">
        <f t="shared" ref="M21:M84" si="6">F21/$J21</f>
        <v>1.5137668164354199</v>
      </c>
    </row>
    <row r="22" spans="2:13" x14ac:dyDescent="0.25">
      <c r="B22" s="433">
        <f t="shared" si="1"/>
        <v>2016</v>
      </c>
      <c r="C22" s="434">
        <v>42491</v>
      </c>
      <c r="D22" s="428">
        <v>152512</v>
      </c>
      <c r="E22" s="428">
        <v>101675</v>
      </c>
      <c r="F22" s="428">
        <v>39450</v>
      </c>
      <c r="G22" s="435"/>
      <c r="H22" s="433">
        <f t="shared" si="2"/>
        <v>2016</v>
      </c>
      <c r="I22" s="436">
        <f t="shared" si="3"/>
        <v>42491</v>
      </c>
      <c r="J22" s="428">
        <f>VLOOKUP(I22,'AUX UF'!$B$6:$C$1048576,2,FALSE)</f>
        <v>25954.3129032258</v>
      </c>
      <c r="K22" s="432">
        <f t="shared" si="4"/>
        <v>5.8761717394970852</v>
      </c>
      <c r="L22" s="432">
        <f t="shared" si="5"/>
        <v>3.9174606694120211</v>
      </c>
      <c r="M22" s="432">
        <f t="shared" si="6"/>
        <v>1.5199785926560534</v>
      </c>
    </row>
    <row r="23" spans="2:13" x14ac:dyDescent="0.25">
      <c r="B23" s="433">
        <f t="shared" si="1"/>
        <v>2016</v>
      </c>
      <c r="C23" s="434">
        <v>42522</v>
      </c>
      <c r="D23" s="428">
        <v>153668</v>
      </c>
      <c r="E23" s="428">
        <v>102445</v>
      </c>
      <c r="F23" s="428">
        <v>39959</v>
      </c>
      <c r="G23" s="435"/>
      <c r="H23" s="433">
        <f t="shared" si="2"/>
        <v>2016</v>
      </c>
      <c r="I23" s="436">
        <f t="shared" si="3"/>
        <v>42522</v>
      </c>
      <c r="J23" s="428">
        <f>VLOOKUP(I23,'AUX UF'!$B$6:$C$1048576,2,FALSE)</f>
        <v>26025.992666666702</v>
      </c>
      <c r="K23" s="432">
        <f t="shared" si="4"/>
        <v>5.9044049526999709</v>
      </c>
      <c r="L23" s="432">
        <f t="shared" si="5"/>
        <v>3.9362571607579233</v>
      </c>
      <c r="M23" s="432">
        <f t="shared" si="6"/>
        <v>1.5353496987332311</v>
      </c>
    </row>
    <row r="24" spans="2:13" x14ac:dyDescent="0.25">
      <c r="B24" s="433">
        <f t="shared" si="1"/>
        <v>2016</v>
      </c>
      <c r="C24" s="434">
        <v>42552</v>
      </c>
      <c r="D24" s="428">
        <v>153952</v>
      </c>
      <c r="E24" s="428">
        <v>102635</v>
      </c>
      <c r="F24" s="428">
        <v>40118</v>
      </c>
      <c r="G24" s="435"/>
      <c r="H24" s="433">
        <f t="shared" si="2"/>
        <v>2016</v>
      </c>
      <c r="I24" s="436">
        <f t="shared" si="3"/>
        <v>42552</v>
      </c>
      <c r="J24" s="428">
        <f>VLOOKUP(I24,'AUX UF'!$B$6:$C$1048576,2,FALSE)</f>
        <v>26093.0977419355</v>
      </c>
      <c r="K24" s="432">
        <f t="shared" si="4"/>
        <v>5.9001043694622801</v>
      </c>
      <c r="L24" s="432">
        <f t="shared" si="5"/>
        <v>3.9334156877452786</v>
      </c>
      <c r="M24" s="432">
        <f t="shared" si="6"/>
        <v>1.5374947197443862</v>
      </c>
    </row>
    <row r="25" spans="2:13" x14ac:dyDescent="0.25">
      <c r="B25" s="433">
        <f t="shared" si="1"/>
        <v>2016</v>
      </c>
      <c r="C25" s="434">
        <v>42583</v>
      </c>
      <c r="D25" s="428">
        <v>154280</v>
      </c>
      <c r="E25" s="428">
        <v>102853</v>
      </c>
      <c r="F25" s="428">
        <v>40433</v>
      </c>
      <c r="G25" s="435"/>
      <c r="H25" s="433">
        <f t="shared" si="2"/>
        <v>2016</v>
      </c>
      <c r="I25" s="436">
        <f t="shared" si="3"/>
        <v>42583</v>
      </c>
      <c r="J25" s="428">
        <f>VLOOKUP(I25,'AUX UF'!$B$6:$C$1048576,2,FALSE)</f>
        <v>26181.8209677419</v>
      </c>
      <c r="K25" s="432">
        <f t="shared" si="4"/>
        <v>5.8926382618720563</v>
      </c>
      <c r="L25" s="432">
        <f t="shared" si="5"/>
        <v>3.9284127764345778</v>
      </c>
      <c r="M25" s="432">
        <f t="shared" si="6"/>
        <v>1.5443158078965056</v>
      </c>
    </row>
    <row r="26" spans="2:13" x14ac:dyDescent="0.25">
      <c r="B26" s="433">
        <f t="shared" si="1"/>
        <v>2016</v>
      </c>
      <c r="C26" s="434">
        <v>42614</v>
      </c>
      <c r="D26" s="428">
        <v>155688</v>
      </c>
      <c r="E26" s="428">
        <v>103792</v>
      </c>
      <c r="F26" s="428">
        <v>41318</v>
      </c>
      <c r="G26" s="435"/>
      <c r="H26" s="433">
        <f t="shared" si="2"/>
        <v>2016</v>
      </c>
      <c r="I26" s="436">
        <f t="shared" si="3"/>
        <v>42614</v>
      </c>
      <c r="J26" s="428">
        <f>VLOOKUP(I26,'AUX UF'!$B$6:$C$1048576,2,FALSE)</f>
        <v>26222.2726666667</v>
      </c>
      <c r="K26" s="432">
        <f t="shared" si="4"/>
        <v>5.9372428156430503</v>
      </c>
      <c r="L26" s="432">
        <f t="shared" si="5"/>
        <v>3.958161877095367</v>
      </c>
      <c r="M26" s="432">
        <f t="shared" si="6"/>
        <v>1.5756834094903882</v>
      </c>
    </row>
    <row r="27" spans="2:13" x14ac:dyDescent="0.25">
      <c r="B27" s="433">
        <f t="shared" si="1"/>
        <v>2016</v>
      </c>
      <c r="C27" s="434">
        <v>42644</v>
      </c>
      <c r="D27" s="428">
        <v>155769</v>
      </c>
      <c r="E27" s="428">
        <v>103846</v>
      </c>
      <c r="F27" s="428">
        <v>41191</v>
      </c>
      <c r="G27" s="435"/>
      <c r="H27" s="433">
        <f t="shared" si="2"/>
        <v>2016</v>
      </c>
      <c r="I27" s="436">
        <f t="shared" si="3"/>
        <v>42644</v>
      </c>
      <c r="J27" s="428">
        <f>VLOOKUP(I27,'AUX UF'!$B$6:$C$1048576,2,FALSE)</f>
        <v>26238.100967741899</v>
      </c>
      <c r="K27" s="432">
        <f t="shared" si="4"/>
        <v>5.9367482498641282</v>
      </c>
      <c r="L27" s="432">
        <f t="shared" si="5"/>
        <v>3.9578321665760852</v>
      </c>
      <c r="M27" s="432">
        <f t="shared" si="6"/>
        <v>1.5698925791406075</v>
      </c>
    </row>
    <row r="28" spans="2:13" x14ac:dyDescent="0.25">
      <c r="B28" s="433">
        <f t="shared" si="1"/>
        <v>2016</v>
      </c>
      <c r="C28" s="434">
        <v>42675</v>
      </c>
      <c r="D28" s="428">
        <v>155620</v>
      </c>
      <c r="E28" s="428">
        <v>103747</v>
      </c>
      <c r="F28" s="428">
        <v>41067</v>
      </c>
      <c r="G28" s="435"/>
      <c r="H28" s="433">
        <f t="shared" si="2"/>
        <v>2016</v>
      </c>
      <c r="I28" s="436">
        <f t="shared" si="3"/>
        <v>42675</v>
      </c>
      <c r="J28" s="428">
        <f>VLOOKUP(I28,'AUX UF'!$B$6:$C$1048576,2,FALSE)</f>
        <v>26288.1996666667</v>
      </c>
      <c r="K28" s="432">
        <f t="shared" si="4"/>
        <v>5.9197663580334616</v>
      </c>
      <c r="L28" s="432">
        <f t="shared" si="5"/>
        <v>3.9465235853161391</v>
      </c>
      <c r="M28" s="432">
        <f t="shared" si="6"/>
        <v>1.5621838132975208</v>
      </c>
    </row>
    <row r="29" spans="2:13" x14ac:dyDescent="0.25">
      <c r="B29" s="433">
        <f t="shared" si="1"/>
        <v>2016</v>
      </c>
      <c r="C29" s="434">
        <v>42705</v>
      </c>
      <c r="D29" s="428">
        <v>154709</v>
      </c>
      <c r="E29" s="428">
        <v>103139</v>
      </c>
      <c r="F29" s="428">
        <v>40449</v>
      </c>
      <c r="G29" s="435"/>
      <c r="H29" s="433">
        <f t="shared" si="2"/>
        <v>2016</v>
      </c>
      <c r="I29" s="436">
        <f t="shared" si="3"/>
        <v>42705</v>
      </c>
      <c r="J29" s="428">
        <f>VLOOKUP(I29,'AUX UF'!$B$6:$C$1048576,2,FALSE)</f>
        <v>26334.194516128999</v>
      </c>
      <c r="K29" s="432">
        <f t="shared" si="4"/>
        <v>5.874833190939059</v>
      </c>
      <c r="L29" s="432">
        <f t="shared" si="5"/>
        <v>3.9165428028121418</v>
      </c>
      <c r="M29" s="432">
        <f t="shared" si="6"/>
        <v>1.5359877430549871</v>
      </c>
    </row>
    <row r="30" spans="2:13" x14ac:dyDescent="0.25">
      <c r="B30" s="433">
        <f t="shared" si="1"/>
        <v>2017</v>
      </c>
      <c r="C30" s="434">
        <v>42736</v>
      </c>
      <c r="D30" s="428">
        <v>155443</v>
      </c>
      <c r="E30" s="428">
        <v>103629</v>
      </c>
      <c r="F30" s="428">
        <v>40501</v>
      </c>
      <c r="G30" s="435"/>
      <c r="H30" s="433">
        <f t="shared" si="2"/>
        <v>2017</v>
      </c>
      <c r="I30" s="436">
        <f t="shared" si="3"/>
        <v>42736</v>
      </c>
      <c r="J30" s="428">
        <f>VLOOKUP(I30,'AUX UF'!$B$6:$C$1048576,2,FALSE)</f>
        <v>26340.7580645161</v>
      </c>
      <c r="K30" s="432">
        <f t="shared" si="4"/>
        <v>5.9012348702825994</v>
      </c>
      <c r="L30" s="432">
        <f t="shared" si="5"/>
        <v>3.9341692348482433</v>
      </c>
      <c r="M30" s="432">
        <f t="shared" si="6"/>
        <v>1.5375791349968513</v>
      </c>
    </row>
    <row r="31" spans="2:13" x14ac:dyDescent="0.25">
      <c r="B31" s="433">
        <f t="shared" si="1"/>
        <v>2017</v>
      </c>
      <c r="C31" s="434">
        <v>42767</v>
      </c>
      <c r="D31" s="428">
        <v>155623</v>
      </c>
      <c r="E31" s="428">
        <v>103749</v>
      </c>
      <c r="F31" s="428">
        <v>40510</v>
      </c>
      <c r="G31" s="435"/>
      <c r="H31" s="433">
        <f t="shared" si="2"/>
        <v>2017</v>
      </c>
      <c r="I31" s="436">
        <f t="shared" si="3"/>
        <v>42767</v>
      </c>
      <c r="J31" s="428">
        <f>VLOOKUP(I31,'AUX UF'!$B$6:$C$1048576,2,FALSE)</f>
        <v>26336.933928571401</v>
      </c>
      <c r="K31" s="432">
        <f t="shared" si="4"/>
        <v>5.9089262410752266</v>
      </c>
      <c r="L31" s="432">
        <f t="shared" si="5"/>
        <v>3.9392968172141241</v>
      </c>
      <c r="M31" s="432">
        <f t="shared" si="6"/>
        <v>1.53814411768156</v>
      </c>
    </row>
    <row r="32" spans="2:13" x14ac:dyDescent="0.25">
      <c r="B32" s="433">
        <f t="shared" si="1"/>
        <v>2017</v>
      </c>
      <c r="C32" s="434">
        <v>42795</v>
      </c>
      <c r="D32" s="428">
        <v>156169</v>
      </c>
      <c r="E32" s="428">
        <v>104112</v>
      </c>
      <c r="F32" s="428">
        <v>40652</v>
      </c>
      <c r="G32" s="435"/>
      <c r="H32" s="433">
        <f t="shared" si="2"/>
        <v>2017</v>
      </c>
      <c r="I32" s="436">
        <f t="shared" si="3"/>
        <v>42795</v>
      </c>
      <c r="J32" s="428">
        <f>VLOOKUP(I32,'AUX UF'!$B$6:$C$1048576,2,FALSE)</f>
        <v>26442.877096774198</v>
      </c>
      <c r="K32" s="432">
        <f t="shared" si="4"/>
        <v>5.9059004596383824</v>
      </c>
      <c r="L32" s="432">
        <f t="shared" si="5"/>
        <v>3.937241761513945</v>
      </c>
      <c r="M32" s="432">
        <f t="shared" si="6"/>
        <v>1.5373516221863464</v>
      </c>
    </row>
    <row r="33" spans="2:13" x14ac:dyDescent="0.25">
      <c r="B33" s="433">
        <f t="shared" si="1"/>
        <v>2017</v>
      </c>
      <c r="C33" s="434">
        <v>42826</v>
      </c>
      <c r="D33" s="428">
        <v>156467</v>
      </c>
      <c r="E33" s="428">
        <v>104311</v>
      </c>
      <c r="F33" s="428">
        <v>40756</v>
      </c>
      <c r="G33" s="435"/>
      <c r="H33" s="433">
        <f t="shared" si="2"/>
        <v>2017</v>
      </c>
      <c r="I33" s="436">
        <f t="shared" si="3"/>
        <v>42826</v>
      </c>
      <c r="J33" s="428">
        <f>VLOOKUP(I33,'AUX UF'!$B$6:$C$1048576,2,FALSE)</f>
        <v>26512.416666666701</v>
      </c>
      <c r="K33" s="432">
        <f t="shared" si="4"/>
        <v>5.901649855885128</v>
      </c>
      <c r="L33" s="432">
        <f t="shared" si="5"/>
        <v>3.9344206645313937</v>
      </c>
      <c r="M33" s="432">
        <f t="shared" si="6"/>
        <v>1.5372419841017868</v>
      </c>
    </row>
    <row r="34" spans="2:13" x14ac:dyDescent="0.25">
      <c r="B34" s="433">
        <f t="shared" si="1"/>
        <v>2017</v>
      </c>
      <c r="C34" s="434">
        <v>42856</v>
      </c>
      <c r="D34" s="428">
        <v>156259</v>
      </c>
      <c r="E34" s="428">
        <v>104172</v>
      </c>
      <c r="F34" s="428">
        <v>40451</v>
      </c>
      <c r="G34" s="435"/>
      <c r="H34" s="433">
        <f t="shared" si="2"/>
        <v>2017</v>
      </c>
      <c r="I34" s="436">
        <f t="shared" si="3"/>
        <v>42856</v>
      </c>
      <c r="J34" s="428">
        <f>VLOOKUP(I34,'AUX UF'!$B$6:$C$1048576,2,FALSE)</f>
        <v>26603.1374193548</v>
      </c>
      <c r="K34" s="432">
        <f t="shared" si="4"/>
        <v>5.8737057038361051</v>
      </c>
      <c r="L34" s="432">
        <f t="shared" si="5"/>
        <v>3.9157787428565056</v>
      </c>
      <c r="M34" s="432">
        <f t="shared" si="6"/>
        <v>1.5205349415129641</v>
      </c>
    </row>
    <row r="35" spans="2:13" x14ac:dyDescent="0.25">
      <c r="B35" s="433">
        <f t="shared" si="1"/>
        <v>2017</v>
      </c>
      <c r="C35" s="434">
        <v>42887</v>
      </c>
      <c r="D35" s="428">
        <v>155205</v>
      </c>
      <c r="E35" s="428">
        <v>103470</v>
      </c>
      <c r="F35" s="428">
        <v>39987</v>
      </c>
      <c r="G35" s="435"/>
      <c r="H35" s="433">
        <f t="shared" si="2"/>
        <v>2017</v>
      </c>
      <c r="I35" s="436">
        <f t="shared" si="3"/>
        <v>42887</v>
      </c>
      <c r="J35" s="428">
        <f>VLOOKUP(I35,'AUX UF'!$B$6:$C$1048576,2,FALSE)</f>
        <v>26651.216</v>
      </c>
      <c r="K35" s="432">
        <f t="shared" si="4"/>
        <v>5.823561671632544</v>
      </c>
      <c r="L35" s="432">
        <f t="shared" si="5"/>
        <v>3.882374447755029</v>
      </c>
      <c r="M35" s="432">
        <f t="shared" si="6"/>
        <v>1.5003818212272191</v>
      </c>
    </row>
    <row r="36" spans="2:13" x14ac:dyDescent="0.25">
      <c r="B36" s="433">
        <f t="shared" si="1"/>
        <v>2017</v>
      </c>
      <c r="C36" s="434">
        <v>42917</v>
      </c>
      <c r="D36" s="428">
        <v>155654</v>
      </c>
      <c r="E36" s="428">
        <v>103769</v>
      </c>
      <c r="F36" s="428">
        <v>40204</v>
      </c>
      <c r="G36" s="435"/>
      <c r="H36" s="433">
        <f t="shared" si="2"/>
        <v>2017</v>
      </c>
      <c r="I36" s="436">
        <f t="shared" si="3"/>
        <v>42917</v>
      </c>
      <c r="J36" s="428">
        <f>VLOOKUP(I36,'AUX UF'!$B$6:$C$1048576,2,FALSE)</f>
        <v>26643.940322580602</v>
      </c>
      <c r="K36" s="432">
        <f t="shared" si="4"/>
        <v>5.8420037770495998</v>
      </c>
      <c r="L36" s="432">
        <f t="shared" si="5"/>
        <v>3.8946566740376727</v>
      </c>
      <c r="M36" s="432">
        <f t="shared" si="6"/>
        <v>1.5089359724292475</v>
      </c>
    </row>
    <row r="37" spans="2:13" x14ac:dyDescent="0.25">
      <c r="B37" s="433">
        <f t="shared" si="1"/>
        <v>2017</v>
      </c>
      <c r="C37" s="434">
        <v>42948</v>
      </c>
      <c r="D37" s="428">
        <v>156509</v>
      </c>
      <c r="E37" s="428">
        <v>104340</v>
      </c>
      <c r="F37" s="428">
        <v>40761</v>
      </c>
      <c r="G37" s="435"/>
      <c r="H37" s="433">
        <f t="shared" si="2"/>
        <v>2017</v>
      </c>
      <c r="I37" s="436">
        <f t="shared" si="3"/>
        <v>42948</v>
      </c>
      <c r="J37" s="428">
        <f>VLOOKUP(I37,'AUX UF'!$B$6:$C$1048576,2,FALSE)</f>
        <v>26584.37</v>
      </c>
      <c r="K37" s="432">
        <f t="shared" si="4"/>
        <v>5.8872563088762311</v>
      </c>
      <c r="L37" s="432">
        <f t="shared" si="5"/>
        <v>3.9248626166427867</v>
      </c>
      <c r="M37" s="432">
        <f t="shared" si="6"/>
        <v>1.5332693609064274</v>
      </c>
    </row>
    <row r="38" spans="2:13" x14ac:dyDescent="0.25">
      <c r="B38" s="433">
        <f t="shared" si="1"/>
        <v>2017</v>
      </c>
      <c r="C38" s="434">
        <v>42979</v>
      </c>
      <c r="D38" s="428">
        <v>156189</v>
      </c>
      <c r="E38" s="428">
        <v>104126</v>
      </c>
      <c r="F38" s="428">
        <v>40590</v>
      </c>
      <c r="G38" s="435"/>
      <c r="H38" s="433">
        <f t="shared" si="2"/>
        <v>2017</v>
      </c>
      <c r="I38" s="436">
        <f t="shared" si="3"/>
        <v>42979</v>
      </c>
      <c r="J38" s="428">
        <f>VLOOKUP(I38,'AUX UF'!$B$6:$C$1048576,2,FALSE)</f>
        <v>26631.130666666701</v>
      </c>
      <c r="K38" s="432">
        <f t="shared" si="4"/>
        <v>5.8649030698308495</v>
      </c>
      <c r="L38" s="432">
        <f t="shared" si="5"/>
        <v>3.9099353798872327</v>
      </c>
      <c r="M38" s="432">
        <f t="shared" si="6"/>
        <v>1.5241560904060731</v>
      </c>
    </row>
    <row r="39" spans="2:13" x14ac:dyDescent="0.25">
      <c r="B39" s="433">
        <f t="shared" si="1"/>
        <v>2017</v>
      </c>
      <c r="C39" s="434">
        <v>43009</v>
      </c>
      <c r="D39" s="428">
        <v>157231</v>
      </c>
      <c r="E39" s="428">
        <v>104821</v>
      </c>
      <c r="F39" s="428">
        <v>40955</v>
      </c>
      <c r="G39" s="435"/>
      <c r="H39" s="433">
        <f t="shared" si="2"/>
        <v>2017</v>
      </c>
      <c r="I39" s="436">
        <f t="shared" si="3"/>
        <v>43009</v>
      </c>
      <c r="J39" s="428">
        <f>VLOOKUP(I39,'AUX UF'!$B$6:$C$1048576,2,FALSE)</f>
        <v>26656.655483871</v>
      </c>
      <c r="K39" s="432">
        <f t="shared" si="4"/>
        <v>5.8983768648371857</v>
      </c>
      <c r="L39" s="432">
        <f t="shared" si="5"/>
        <v>3.9322637479192948</v>
      </c>
      <c r="M39" s="432">
        <f t="shared" si="6"/>
        <v>1.5363892902761347</v>
      </c>
    </row>
    <row r="40" spans="2:13" x14ac:dyDescent="0.25">
      <c r="B40" s="433">
        <f t="shared" si="1"/>
        <v>2017</v>
      </c>
      <c r="C40" s="434">
        <v>43040</v>
      </c>
      <c r="D40" s="428">
        <v>158145</v>
      </c>
      <c r="E40" s="428">
        <v>105430</v>
      </c>
      <c r="F40" s="428">
        <v>41593</v>
      </c>
      <c r="G40" s="435"/>
      <c r="H40" s="433">
        <f t="shared" si="2"/>
        <v>2017</v>
      </c>
      <c r="I40" s="436">
        <f t="shared" si="3"/>
        <v>43040</v>
      </c>
      <c r="J40" s="428">
        <f>VLOOKUP(I40,'AUX UF'!$B$6:$C$1048576,2,FALSE)</f>
        <v>26662.4136666667</v>
      </c>
      <c r="K40" s="432">
        <f t="shared" si="4"/>
        <v>5.9313834815230022</v>
      </c>
      <c r="L40" s="432">
        <f t="shared" si="5"/>
        <v>3.954255654348668</v>
      </c>
      <c r="M40" s="432">
        <f t="shared" si="6"/>
        <v>1.5599862983147506</v>
      </c>
    </row>
    <row r="41" spans="2:13" x14ac:dyDescent="0.25">
      <c r="B41" s="433">
        <f t="shared" si="1"/>
        <v>2017</v>
      </c>
      <c r="C41" s="434">
        <v>43070</v>
      </c>
      <c r="D41" s="428">
        <v>158479</v>
      </c>
      <c r="E41" s="428">
        <v>105653</v>
      </c>
      <c r="F41" s="428">
        <v>41621</v>
      </c>
      <c r="G41" s="435"/>
      <c r="H41" s="433">
        <f t="shared" si="2"/>
        <v>2017</v>
      </c>
      <c r="I41" s="436">
        <f t="shared" si="3"/>
        <v>43070</v>
      </c>
      <c r="J41" s="428">
        <f>VLOOKUP(I41,'AUX UF'!$B$6:$C$1048576,2,FALSE)</f>
        <v>26779.989677419399</v>
      </c>
      <c r="K41" s="432">
        <f t="shared" si="4"/>
        <v>5.9178140809228097</v>
      </c>
      <c r="L41" s="432">
        <f t="shared" si="5"/>
        <v>3.9452218343864964</v>
      </c>
      <c r="M41" s="432">
        <f t="shared" si="6"/>
        <v>1.5541828246145435</v>
      </c>
    </row>
    <row r="42" spans="2:13" x14ac:dyDescent="0.25">
      <c r="B42" s="433">
        <f t="shared" si="1"/>
        <v>2018</v>
      </c>
      <c r="C42" s="434">
        <v>43101</v>
      </c>
      <c r="D42" s="428">
        <v>160103</v>
      </c>
      <c r="E42" s="428">
        <v>106736</v>
      </c>
      <c r="F42" s="428">
        <v>42506</v>
      </c>
      <c r="G42" s="435"/>
      <c r="H42" s="433">
        <f t="shared" si="2"/>
        <v>2018</v>
      </c>
      <c r="I42" s="436">
        <f t="shared" si="3"/>
        <v>43101</v>
      </c>
      <c r="J42" s="428">
        <f>VLOOKUP(I42,'AUX UF'!$B$6:$C$1048576,2,FALSE)</f>
        <v>26811.971612903199</v>
      </c>
      <c r="K42" s="432">
        <f t="shared" si="4"/>
        <v>5.9713251345884171</v>
      </c>
      <c r="L42" s="432">
        <f t="shared" si="5"/>
        <v>3.9809082875738073</v>
      </c>
      <c r="M42" s="432">
        <f t="shared" si="6"/>
        <v>1.5853366031293308</v>
      </c>
    </row>
    <row r="43" spans="2:13" x14ac:dyDescent="0.25">
      <c r="B43" s="433">
        <f t="shared" si="1"/>
        <v>2018</v>
      </c>
      <c r="C43" s="434">
        <v>43132</v>
      </c>
      <c r="D43" s="428">
        <v>159448</v>
      </c>
      <c r="E43" s="428">
        <v>106299</v>
      </c>
      <c r="F43" s="428">
        <v>41969</v>
      </c>
      <c r="G43" s="435"/>
      <c r="H43" s="433">
        <f t="shared" si="2"/>
        <v>2018</v>
      </c>
      <c r="I43" s="436">
        <f t="shared" si="3"/>
        <v>43132</v>
      </c>
      <c r="J43" s="428">
        <f>VLOOKUP(I43,'AUX UF'!$B$6:$C$1048576,2,FALSE)</f>
        <v>26864.088214285701</v>
      </c>
      <c r="K43" s="432">
        <f t="shared" si="4"/>
        <v>5.935358711158834</v>
      </c>
      <c r="L43" s="432">
        <f t="shared" si="5"/>
        <v>3.9569182155779496</v>
      </c>
      <c r="M43" s="432">
        <f t="shared" si="6"/>
        <v>1.5622715226821604</v>
      </c>
    </row>
    <row r="44" spans="2:13" x14ac:dyDescent="0.25">
      <c r="B44" s="433">
        <f t="shared" si="1"/>
        <v>2018</v>
      </c>
      <c r="C44" s="434">
        <v>43160</v>
      </c>
      <c r="D44" s="428">
        <v>159902</v>
      </c>
      <c r="E44" s="428">
        <v>106601</v>
      </c>
      <c r="F44" s="428">
        <v>42140</v>
      </c>
      <c r="G44" s="435"/>
      <c r="H44" s="433">
        <f t="shared" si="2"/>
        <v>2018</v>
      </c>
      <c r="I44" s="436">
        <f t="shared" si="3"/>
        <v>43160</v>
      </c>
      <c r="J44" s="428">
        <f>VLOOKUP(I44,'AUX UF'!$B$6:$C$1048576,2,FALSE)</f>
        <v>26961.315806451599</v>
      </c>
      <c r="K44" s="432">
        <f t="shared" si="4"/>
        <v>5.9307936284673799</v>
      </c>
      <c r="L44" s="432">
        <f t="shared" si="5"/>
        <v>3.9538500555856158</v>
      </c>
      <c r="M44" s="432">
        <f t="shared" si="6"/>
        <v>1.5629800972071355</v>
      </c>
    </row>
    <row r="45" spans="2:13" x14ac:dyDescent="0.25">
      <c r="B45" s="433">
        <f t="shared" si="1"/>
        <v>2018</v>
      </c>
      <c r="C45" s="434">
        <v>43191</v>
      </c>
      <c r="D45" s="428">
        <v>160052</v>
      </c>
      <c r="E45" s="428">
        <v>106701</v>
      </c>
      <c r="F45" s="428">
        <v>42059</v>
      </c>
      <c r="G45" s="435"/>
      <c r="H45" s="433">
        <f t="shared" si="2"/>
        <v>2018</v>
      </c>
      <c r="I45" s="436">
        <f t="shared" si="3"/>
        <v>43191</v>
      </c>
      <c r="J45" s="428">
        <f>VLOOKUP(I45,'AUX UF'!$B$6:$C$1048576,2,FALSE)</f>
        <v>26980.725666666702</v>
      </c>
      <c r="K45" s="432">
        <f t="shared" si="4"/>
        <v>5.9320865560608702</v>
      </c>
      <c r="L45" s="432">
        <f t="shared" si="5"/>
        <v>3.9547120162088003</v>
      </c>
      <c r="M45" s="432">
        <f t="shared" si="6"/>
        <v>1.5588535504796199</v>
      </c>
    </row>
    <row r="46" spans="2:13" x14ac:dyDescent="0.25">
      <c r="B46" s="433">
        <f t="shared" si="1"/>
        <v>2018</v>
      </c>
      <c r="C46" s="434">
        <v>43221</v>
      </c>
      <c r="D46" s="428">
        <v>160253</v>
      </c>
      <c r="E46" s="428">
        <v>106836</v>
      </c>
      <c r="F46" s="428">
        <v>41927</v>
      </c>
      <c r="G46" s="435"/>
      <c r="H46" s="433">
        <f t="shared" si="2"/>
        <v>2018</v>
      </c>
      <c r="I46" s="436">
        <f t="shared" si="3"/>
        <v>43221</v>
      </c>
      <c r="J46" s="428">
        <f>VLOOKUP(I46,'AUX UF'!$B$6:$C$1048576,2,FALSE)</f>
        <v>27040.055806451601</v>
      </c>
      <c r="K46" s="432">
        <f t="shared" si="4"/>
        <v>5.9265040407854688</v>
      </c>
      <c r="L46" s="432">
        <f t="shared" si="5"/>
        <v>3.9510273486384428</v>
      </c>
      <c r="M46" s="432">
        <f t="shared" si="6"/>
        <v>1.5505515336250326</v>
      </c>
    </row>
    <row r="47" spans="2:13" x14ac:dyDescent="0.25">
      <c r="B47" s="433">
        <f t="shared" si="1"/>
        <v>2018</v>
      </c>
      <c r="C47" s="434">
        <v>43252</v>
      </c>
      <c r="D47" s="428">
        <v>160199</v>
      </c>
      <c r="E47" s="428">
        <v>106799</v>
      </c>
      <c r="F47" s="428">
        <v>41882</v>
      </c>
      <c r="G47" s="435"/>
      <c r="H47" s="433">
        <f t="shared" si="2"/>
        <v>2018</v>
      </c>
      <c r="I47" s="436">
        <f t="shared" si="3"/>
        <v>43252</v>
      </c>
      <c r="J47" s="428">
        <f>VLOOKUP(I47,'AUX UF'!$B$6:$C$1048576,2,FALSE)</f>
        <v>27119.5906666667</v>
      </c>
      <c r="K47" s="432">
        <f t="shared" si="4"/>
        <v>5.9071319316373092</v>
      </c>
      <c r="L47" s="432">
        <f t="shared" si="5"/>
        <v>3.938075663187242</v>
      </c>
      <c r="M47" s="432">
        <f t="shared" si="6"/>
        <v>1.5443448433562867</v>
      </c>
    </row>
    <row r="48" spans="2:13" x14ac:dyDescent="0.25">
      <c r="B48" s="433">
        <f t="shared" si="1"/>
        <v>2018</v>
      </c>
      <c r="C48" s="434">
        <v>43282</v>
      </c>
      <c r="D48" s="428">
        <v>160696</v>
      </c>
      <c r="E48" s="428">
        <v>107131</v>
      </c>
      <c r="F48" s="428">
        <v>41982</v>
      </c>
      <c r="G48" s="435"/>
      <c r="H48" s="433">
        <f t="shared" si="2"/>
        <v>2018</v>
      </c>
      <c r="I48" s="436">
        <f t="shared" si="3"/>
        <v>43282</v>
      </c>
      <c r="J48" s="428">
        <f>VLOOKUP(I48,'AUX UF'!$B$6:$C$1048576,2,FALSE)</f>
        <v>27187.192580645202</v>
      </c>
      <c r="K48" s="432">
        <f t="shared" si="4"/>
        <v>5.9107243060617032</v>
      </c>
      <c r="L48" s="432">
        <f t="shared" si="5"/>
        <v>3.9404951313828369</v>
      </c>
      <c r="M48" s="432">
        <f t="shared" si="6"/>
        <v>1.5441829779028877</v>
      </c>
    </row>
    <row r="49" spans="2:13" x14ac:dyDescent="0.25">
      <c r="B49" s="433">
        <f t="shared" si="1"/>
        <v>2018</v>
      </c>
      <c r="C49" s="434">
        <v>43313</v>
      </c>
      <c r="D49" s="428">
        <v>161097</v>
      </c>
      <c r="E49" s="428">
        <v>107398</v>
      </c>
      <c r="F49" s="428">
        <v>42183</v>
      </c>
      <c r="G49" s="435"/>
      <c r="H49" s="433">
        <f t="shared" si="2"/>
        <v>2018</v>
      </c>
      <c r="I49" s="436">
        <f t="shared" si="3"/>
        <v>43313</v>
      </c>
      <c r="J49" s="428">
        <f>VLOOKUP(I49,'AUX UF'!$B$6:$C$1048576,2,FALSE)</f>
        <v>27237.976774193499</v>
      </c>
      <c r="K49" s="432">
        <f t="shared" si="4"/>
        <v>5.9144260726674327</v>
      </c>
      <c r="L49" s="432">
        <f t="shared" si="5"/>
        <v>3.9429507151116217</v>
      </c>
      <c r="M49" s="432">
        <f t="shared" si="6"/>
        <v>1.5486833089587659</v>
      </c>
    </row>
    <row r="50" spans="2:13" x14ac:dyDescent="0.25">
      <c r="B50" s="433">
        <f t="shared" si="1"/>
        <v>2018</v>
      </c>
      <c r="C50" s="434">
        <v>43344</v>
      </c>
      <c r="D50" s="428">
        <v>161957</v>
      </c>
      <c r="E50" s="428">
        <v>107972</v>
      </c>
      <c r="F50" s="428">
        <v>42529</v>
      </c>
      <c r="G50" s="435"/>
      <c r="H50" s="433">
        <f t="shared" si="2"/>
        <v>2018</v>
      </c>
      <c r="I50" s="436">
        <f t="shared" si="3"/>
        <v>43344</v>
      </c>
      <c r="J50" s="428">
        <f>VLOOKUP(I50,'AUX UF'!$B$6:$C$1048576,2,FALSE)</f>
        <v>27329.007000000001</v>
      </c>
      <c r="K50" s="432">
        <f t="shared" si="4"/>
        <v>5.9261940984537054</v>
      </c>
      <c r="L50" s="432">
        <f t="shared" si="5"/>
        <v>3.9508204597408167</v>
      </c>
      <c r="M50" s="432">
        <f t="shared" si="6"/>
        <v>1.5561853381646833</v>
      </c>
    </row>
    <row r="51" spans="2:13" x14ac:dyDescent="0.25">
      <c r="B51" s="433">
        <f t="shared" si="1"/>
        <v>2018</v>
      </c>
      <c r="C51" s="434">
        <v>43374</v>
      </c>
      <c r="D51" s="428">
        <v>162959</v>
      </c>
      <c r="E51" s="428">
        <v>108639</v>
      </c>
      <c r="F51" s="428">
        <v>43000</v>
      </c>
      <c r="G51" s="435"/>
      <c r="H51" s="433">
        <f t="shared" si="2"/>
        <v>2018</v>
      </c>
      <c r="I51" s="436">
        <f t="shared" si="3"/>
        <v>43374</v>
      </c>
      <c r="J51" s="428">
        <f>VLOOKUP(I51,'AUX UF'!$B$6:$C$1048576,2,FALSE)</f>
        <v>27393.3358064516</v>
      </c>
      <c r="K51" s="432">
        <f t="shared" si="4"/>
        <v>5.9488556323111395</v>
      </c>
      <c r="L51" s="432">
        <f t="shared" si="5"/>
        <v>3.965891586464386</v>
      </c>
      <c r="M51" s="432">
        <f t="shared" si="6"/>
        <v>1.5697248521982767</v>
      </c>
    </row>
    <row r="52" spans="2:13" x14ac:dyDescent="0.25">
      <c r="B52" s="433">
        <f t="shared" si="1"/>
        <v>2018</v>
      </c>
      <c r="C52" s="434">
        <v>43405</v>
      </c>
      <c r="D52" s="428">
        <v>163229</v>
      </c>
      <c r="E52" s="428">
        <v>108819</v>
      </c>
      <c r="F52" s="428">
        <v>43249</v>
      </c>
      <c r="G52" s="435"/>
      <c r="H52" s="433">
        <f t="shared" si="2"/>
        <v>2018</v>
      </c>
      <c r="I52" s="436">
        <f t="shared" si="3"/>
        <v>43405</v>
      </c>
      <c r="J52" s="428">
        <f>VLOOKUP(I52,'AUX UF'!$B$6:$C$1048576,2,FALSE)</f>
        <v>27480.947</v>
      </c>
      <c r="K52" s="432">
        <f t="shared" si="4"/>
        <v>5.9397152507153415</v>
      </c>
      <c r="L52" s="432">
        <f t="shared" si="5"/>
        <v>3.9597980375276003</v>
      </c>
      <c r="M52" s="432">
        <f t="shared" si="6"/>
        <v>1.5737812819914829</v>
      </c>
    </row>
    <row r="53" spans="2:13" x14ac:dyDescent="0.25">
      <c r="B53" s="433">
        <f t="shared" si="1"/>
        <v>2018</v>
      </c>
      <c r="C53" s="434">
        <v>43435</v>
      </c>
      <c r="D53" s="428">
        <v>163044</v>
      </c>
      <c r="E53" s="428">
        <v>108696</v>
      </c>
      <c r="F53" s="428">
        <v>43091</v>
      </c>
      <c r="G53" s="435"/>
      <c r="H53" s="433">
        <f t="shared" si="2"/>
        <v>2018</v>
      </c>
      <c r="I53" s="436">
        <f t="shared" si="3"/>
        <v>43435</v>
      </c>
      <c r="J53" s="428">
        <f>VLOOKUP(I53,'AUX UF'!$B$6:$C$1048576,2,FALSE)</f>
        <v>27561.532903225801</v>
      </c>
      <c r="K53" s="432">
        <f t="shared" si="4"/>
        <v>5.915636135786821</v>
      </c>
      <c r="L53" s="432">
        <f t="shared" si="5"/>
        <v>3.9437574238578805</v>
      </c>
      <c r="M53" s="432">
        <f t="shared" si="6"/>
        <v>1.5634471475625591</v>
      </c>
    </row>
    <row r="54" spans="2:13" x14ac:dyDescent="0.25">
      <c r="B54" s="433">
        <f t="shared" si="1"/>
        <v>2019</v>
      </c>
      <c r="C54" s="434">
        <v>43466</v>
      </c>
      <c r="D54" s="428">
        <v>162830</v>
      </c>
      <c r="E54" s="428">
        <v>108553</v>
      </c>
      <c r="F54" s="428">
        <v>42840</v>
      </c>
      <c r="G54" s="435"/>
      <c r="H54" s="433">
        <f t="shared" si="2"/>
        <v>2019</v>
      </c>
      <c r="I54" s="436">
        <f t="shared" si="3"/>
        <v>43466</v>
      </c>
      <c r="J54" s="428">
        <f>VLOOKUP(I54,'AUX UF'!$B$6:$C$1048576,2,FALSE)</f>
        <v>27558.530322580598</v>
      </c>
      <c r="K54" s="432">
        <f t="shared" si="4"/>
        <v>5.908515370523304</v>
      </c>
      <c r="L54" s="432">
        <f t="shared" si="5"/>
        <v>3.9389981515471115</v>
      </c>
      <c r="M54" s="432">
        <f t="shared" si="6"/>
        <v>1.55450960187446</v>
      </c>
    </row>
    <row r="55" spans="2:13" x14ac:dyDescent="0.25">
      <c r="B55" s="433">
        <f t="shared" si="1"/>
        <v>2019</v>
      </c>
      <c r="C55" s="434">
        <v>43497</v>
      </c>
      <c r="D55" s="428">
        <v>162659</v>
      </c>
      <c r="E55" s="428">
        <v>108439</v>
      </c>
      <c r="F55" s="428">
        <v>42651</v>
      </c>
      <c r="G55" s="435"/>
      <c r="H55" s="433">
        <f t="shared" si="2"/>
        <v>2019</v>
      </c>
      <c r="I55" s="436">
        <f t="shared" si="3"/>
        <v>43497</v>
      </c>
      <c r="J55" s="428">
        <f>VLOOKUP(I55,'AUX UF'!$B$6:$C$1048576,2,FALSE)</f>
        <v>27546.036785714299</v>
      </c>
      <c r="K55" s="432">
        <f t="shared" si="4"/>
        <v>5.9049873949328671</v>
      </c>
      <c r="L55" s="432">
        <f t="shared" si="5"/>
        <v>3.9366461623342399</v>
      </c>
      <c r="M55" s="432">
        <f t="shared" si="6"/>
        <v>1.5483534103940249</v>
      </c>
    </row>
    <row r="56" spans="2:13" x14ac:dyDescent="0.25">
      <c r="B56" s="433">
        <f t="shared" si="1"/>
        <v>2019</v>
      </c>
      <c r="C56" s="434">
        <v>43525</v>
      </c>
      <c r="D56" s="428">
        <v>163658</v>
      </c>
      <c r="E56" s="428">
        <v>109106</v>
      </c>
      <c r="F56" s="428">
        <v>43050</v>
      </c>
      <c r="G56" s="435"/>
      <c r="H56" s="433">
        <f t="shared" si="2"/>
        <v>2019</v>
      </c>
      <c r="I56" s="436">
        <f t="shared" si="3"/>
        <v>43525</v>
      </c>
      <c r="J56" s="428">
        <f>VLOOKUP(I56,'AUX UF'!$B$6:$C$1048576,2,FALSE)</f>
        <v>27564.616774193601</v>
      </c>
      <c r="K56" s="432">
        <f t="shared" si="4"/>
        <v>5.9372492402368175</v>
      </c>
      <c r="L56" s="432">
        <f t="shared" si="5"/>
        <v>3.9581903457532062</v>
      </c>
      <c r="M56" s="432">
        <f t="shared" si="6"/>
        <v>1.5617848182929952</v>
      </c>
    </row>
    <row r="57" spans="2:13" x14ac:dyDescent="0.25">
      <c r="B57" s="433">
        <f t="shared" si="1"/>
        <v>2019</v>
      </c>
      <c r="C57" s="434">
        <v>43556</v>
      </c>
      <c r="D57" s="428">
        <v>163943</v>
      </c>
      <c r="E57" s="428">
        <v>109295</v>
      </c>
      <c r="F57" s="428">
        <v>43100</v>
      </c>
      <c r="G57" s="435"/>
      <c r="H57" s="433">
        <f t="shared" si="2"/>
        <v>2019</v>
      </c>
      <c r="I57" s="436">
        <f t="shared" si="3"/>
        <v>43556</v>
      </c>
      <c r="J57" s="428">
        <f>VLOOKUP(I57,'AUX UF'!$B$6:$C$1048576,2,FALSE)</f>
        <v>27601.09</v>
      </c>
      <c r="K57" s="432">
        <f t="shared" si="4"/>
        <v>5.9397291918543793</v>
      </c>
      <c r="L57" s="432">
        <f t="shared" si="5"/>
        <v>3.959807384418514</v>
      </c>
      <c r="M57" s="432">
        <f t="shared" si="6"/>
        <v>1.5615325336789236</v>
      </c>
    </row>
    <row r="58" spans="2:13" x14ac:dyDescent="0.25">
      <c r="B58" s="433">
        <f t="shared" si="1"/>
        <v>2019</v>
      </c>
      <c r="C58" s="434">
        <v>43586</v>
      </c>
      <c r="D58" s="428">
        <v>164329</v>
      </c>
      <c r="E58" s="428">
        <v>109553</v>
      </c>
      <c r="F58" s="428">
        <v>42860</v>
      </c>
      <c r="G58" s="435"/>
      <c r="H58" s="433">
        <f t="shared" si="2"/>
        <v>2019</v>
      </c>
      <c r="I58" s="436">
        <f t="shared" si="3"/>
        <v>43586</v>
      </c>
      <c r="J58" s="428">
        <f>VLOOKUP(I58,'AUX UF'!$B$6:$C$1048576,2,FALSE)</f>
        <v>27720.106451612901</v>
      </c>
      <c r="K58" s="432">
        <f t="shared" si="4"/>
        <v>5.9281518376145517</v>
      </c>
      <c r="L58" s="432">
        <f t="shared" si="5"/>
        <v>3.9521132500422138</v>
      </c>
      <c r="M58" s="432">
        <f t="shared" si="6"/>
        <v>1.5461701085028186</v>
      </c>
    </row>
    <row r="59" spans="2:13" x14ac:dyDescent="0.25">
      <c r="B59" s="433">
        <f t="shared" si="1"/>
        <v>2019</v>
      </c>
      <c r="C59" s="434">
        <v>43617</v>
      </c>
      <c r="D59" s="428">
        <v>164589</v>
      </c>
      <c r="E59" s="428">
        <v>109726</v>
      </c>
      <c r="F59" s="428">
        <v>43066</v>
      </c>
      <c r="G59" s="435"/>
      <c r="H59" s="433">
        <f t="shared" si="2"/>
        <v>2019</v>
      </c>
      <c r="I59" s="436">
        <f t="shared" si="3"/>
        <v>43617</v>
      </c>
      <c r="J59" s="428">
        <f>VLOOKUP(I59,'AUX UF'!$B$6:$C$1048576,2,FALSE)</f>
        <v>27826.203333333298</v>
      </c>
      <c r="K59" s="432">
        <f t="shared" si="4"/>
        <v>5.914892449694606</v>
      </c>
      <c r="L59" s="432">
        <f t="shared" si="5"/>
        <v>3.9432616331297372</v>
      </c>
      <c r="M59" s="432">
        <f t="shared" si="6"/>
        <v>1.547677902159609</v>
      </c>
    </row>
    <row r="60" spans="2:13" x14ac:dyDescent="0.25">
      <c r="B60" s="433">
        <f t="shared" si="1"/>
        <v>2019</v>
      </c>
      <c r="C60" s="434">
        <v>43647</v>
      </c>
      <c r="D60" s="428">
        <v>164605</v>
      </c>
      <c r="E60" s="428">
        <v>109736</v>
      </c>
      <c r="F60" s="428">
        <v>42937</v>
      </c>
      <c r="G60" s="435"/>
      <c r="H60" s="433">
        <f t="shared" si="2"/>
        <v>2019</v>
      </c>
      <c r="I60" s="436">
        <f t="shared" si="3"/>
        <v>43647</v>
      </c>
      <c r="J60" s="428">
        <f>VLOOKUP(I60,'AUX UF'!$B$6:$C$1048576,2,FALSE)</f>
        <v>27946.950322580698</v>
      </c>
      <c r="K60" s="432">
        <f t="shared" si="4"/>
        <v>5.8899092065513043</v>
      </c>
      <c r="L60" s="432">
        <f t="shared" si="5"/>
        <v>3.9265822829811605</v>
      </c>
      <c r="M60" s="432">
        <f t="shared" si="6"/>
        <v>1.5363751502183614</v>
      </c>
    </row>
    <row r="61" spans="2:13" x14ac:dyDescent="0.25">
      <c r="B61" s="433">
        <f t="shared" si="1"/>
        <v>2019</v>
      </c>
      <c r="C61" s="434">
        <v>43678</v>
      </c>
      <c r="D61" s="428">
        <v>165037</v>
      </c>
      <c r="E61" s="428">
        <v>110025</v>
      </c>
      <c r="F61" s="428">
        <v>43176</v>
      </c>
      <c r="G61" s="435"/>
      <c r="H61" s="433">
        <f t="shared" si="2"/>
        <v>2019</v>
      </c>
      <c r="I61" s="436">
        <f t="shared" si="3"/>
        <v>43678</v>
      </c>
      <c r="J61" s="428">
        <f>VLOOKUP(I61,'AUX UF'!$B$6:$C$1048576,2,FALSE)</f>
        <v>27968.130645161302</v>
      </c>
      <c r="K61" s="432">
        <f t="shared" si="4"/>
        <v>5.9008949183578219</v>
      </c>
      <c r="L61" s="432">
        <f t="shared" si="5"/>
        <v>3.9339418638991219</v>
      </c>
      <c r="M61" s="432">
        <f t="shared" si="6"/>
        <v>1.5437570908039853</v>
      </c>
    </row>
    <row r="62" spans="2:13" x14ac:dyDescent="0.25">
      <c r="B62" s="433">
        <f t="shared" si="1"/>
        <v>2019</v>
      </c>
      <c r="C62" s="434">
        <v>43709</v>
      </c>
      <c r="D62" s="428">
        <v>165399</v>
      </c>
      <c r="E62" s="428">
        <v>110266</v>
      </c>
      <c r="F62" s="428">
        <v>43401</v>
      </c>
      <c r="G62" s="435"/>
      <c r="H62" s="433">
        <f t="shared" si="2"/>
        <v>2019</v>
      </c>
      <c r="I62" s="436">
        <f t="shared" si="3"/>
        <v>43709</v>
      </c>
      <c r="J62" s="428">
        <f>VLOOKUP(I62,'AUX UF'!$B$6:$C$1048576,2,FALSE)</f>
        <v>28021.534</v>
      </c>
      <c r="K62" s="432">
        <f t="shared" si="4"/>
        <v>5.9025676467248367</v>
      </c>
      <c r="L62" s="432">
        <f t="shared" si="5"/>
        <v>3.9350450978165576</v>
      </c>
      <c r="M62" s="432">
        <f t="shared" si="6"/>
        <v>1.5488445422010086</v>
      </c>
    </row>
    <row r="63" spans="2:13" x14ac:dyDescent="0.25">
      <c r="B63" s="433">
        <f t="shared" si="1"/>
        <v>2019</v>
      </c>
      <c r="C63" s="434">
        <v>43739</v>
      </c>
      <c r="D63" s="428">
        <v>166847</v>
      </c>
      <c r="E63" s="428">
        <v>111231</v>
      </c>
      <c r="F63" s="428">
        <v>43807</v>
      </c>
      <c r="G63" s="435"/>
      <c r="H63" s="433">
        <f t="shared" si="2"/>
        <v>2019</v>
      </c>
      <c r="I63" s="436">
        <f t="shared" si="3"/>
        <v>43739</v>
      </c>
      <c r="J63" s="428">
        <f>VLOOKUP(I63,'AUX UF'!$B$6:$C$1048576,2,FALSE)</f>
        <v>28063.1793548387</v>
      </c>
      <c r="K63" s="432">
        <f t="shared" si="4"/>
        <v>5.9454061811863799</v>
      </c>
      <c r="L63" s="432">
        <f t="shared" si="5"/>
        <v>3.9635922428305106</v>
      </c>
      <c r="M63" s="432">
        <f t="shared" si="6"/>
        <v>1.5610134349387865</v>
      </c>
    </row>
    <row r="64" spans="2:13" x14ac:dyDescent="0.25">
      <c r="B64" s="433">
        <f t="shared" si="1"/>
        <v>2019</v>
      </c>
      <c r="C64" s="434">
        <v>43770</v>
      </c>
      <c r="D64" s="428">
        <v>168639</v>
      </c>
      <c r="E64" s="428">
        <v>112426</v>
      </c>
      <c r="F64" s="428">
        <v>45093</v>
      </c>
      <c r="G64" s="435"/>
      <c r="H64" s="433">
        <f t="shared" si="2"/>
        <v>2019</v>
      </c>
      <c r="I64" s="436">
        <f t="shared" si="3"/>
        <v>43770</v>
      </c>
      <c r="J64" s="428">
        <f>VLOOKUP(I64,'AUX UF'!$B$6:$C$1048576,2,FALSE)</f>
        <v>28122.857333333301</v>
      </c>
      <c r="K64" s="432">
        <f t="shared" si="4"/>
        <v>5.9965101696873644</v>
      </c>
      <c r="L64" s="432">
        <f t="shared" si="5"/>
        <v>3.9976734464582426</v>
      </c>
      <c r="M64" s="432">
        <f t="shared" si="6"/>
        <v>1.6034288218129396</v>
      </c>
    </row>
    <row r="65" spans="2:13" x14ac:dyDescent="0.25">
      <c r="B65" s="433">
        <f t="shared" si="1"/>
        <v>2019</v>
      </c>
      <c r="C65" s="434">
        <v>43800</v>
      </c>
      <c r="D65" s="428">
        <v>167973</v>
      </c>
      <c r="E65" s="428">
        <v>111982</v>
      </c>
      <c r="F65" s="428">
        <v>44518</v>
      </c>
      <c r="G65" s="435"/>
      <c r="H65" s="433">
        <f t="shared" si="2"/>
        <v>2019</v>
      </c>
      <c r="I65" s="436">
        <f t="shared" si="3"/>
        <v>43800</v>
      </c>
      <c r="J65" s="428">
        <f>VLOOKUP(I65,'AUX UF'!$B$6:$C$1048576,2,FALSE)</f>
        <v>28288.5977419355</v>
      </c>
      <c r="K65" s="432">
        <f t="shared" si="4"/>
        <v>5.937834088926718</v>
      </c>
      <c r="L65" s="432">
        <f t="shared" si="5"/>
        <v>3.9585560592844788</v>
      </c>
      <c r="M65" s="432">
        <f t="shared" si="6"/>
        <v>1.5737082624638463</v>
      </c>
    </row>
    <row r="66" spans="2:13" x14ac:dyDescent="0.25">
      <c r="B66" s="433">
        <f t="shared" si="1"/>
        <v>2020</v>
      </c>
      <c r="C66" s="434">
        <v>43831</v>
      </c>
      <c r="D66" s="428">
        <v>169347</v>
      </c>
      <c r="E66" s="428">
        <v>112898</v>
      </c>
      <c r="F66" s="428">
        <v>45105</v>
      </c>
      <c r="G66" s="435"/>
      <c r="H66" s="433">
        <f t="shared" si="2"/>
        <v>2020</v>
      </c>
      <c r="I66" s="436">
        <f t="shared" si="3"/>
        <v>43831</v>
      </c>
      <c r="J66" s="428">
        <f>VLOOKUP(I66,'AUX UF'!$B$6:$C$1048576,2,FALSE)</f>
        <v>28324.553870967698</v>
      </c>
      <c r="K66" s="432">
        <f t="shared" si="4"/>
        <v>5.9788055540595284</v>
      </c>
      <c r="L66" s="432">
        <f t="shared" si="5"/>
        <v>3.9858703693730191</v>
      </c>
      <c r="M66" s="432">
        <f t="shared" si="6"/>
        <v>1.5924346136385943</v>
      </c>
    </row>
    <row r="67" spans="2:13" x14ac:dyDescent="0.25">
      <c r="B67" s="433">
        <f t="shared" si="1"/>
        <v>2020</v>
      </c>
      <c r="C67" s="434">
        <v>43862</v>
      </c>
      <c r="D67" s="428">
        <v>169883</v>
      </c>
      <c r="E67" s="428">
        <v>113255</v>
      </c>
      <c r="F67" s="428">
        <v>45219</v>
      </c>
      <c r="G67" s="435"/>
      <c r="H67" s="433">
        <f t="shared" si="2"/>
        <v>2020</v>
      </c>
      <c r="I67" s="436">
        <f t="shared" si="3"/>
        <v>43862</v>
      </c>
      <c r="J67" s="428">
        <f>VLOOKUP(I67,'AUX UF'!$B$6:$C$1048576,2,FALSE)</f>
        <v>28387.7475862069</v>
      </c>
      <c r="K67" s="432">
        <f t="shared" si="4"/>
        <v>5.984377572898496</v>
      </c>
      <c r="L67" s="432">
        <f t="shared" si="5"/>
        <v>3.9895733064439596</v>
      </c>
      <c r="M67" s="432">
        <f t="shared" si="6"/>
        <v>1.5929055259731528</v>
      </c>
    </row>
    <row r="68" spans="2:13" x14ac:dyDescent="0.25">
      <c r="B68" s="433">
        <f t="shared" si="1"/>
        <v>2020</v>
      </c>
      <c r="C68" s="434">
        <v>43891</v>
      </c>
      <c r="D68" s="428">
        <v>170581</v>
      </c>
      <c r="E68" s="428">
        <v>113720</v>
      </c>
      <c r="F68" s="428">
        <v>45528</v>
      </c>
      <c r="G68" s="435"/>
      <c r="H68" s="433">
        <f t="shared" si="2"/>
        <v>2020</v>
      </c>
      <c r="I68" s="436">
        <f t="shared" si="3"/>
        <v>43891</v>
      </c>
      <c r="J68" s="428">
        <f>VLOOKUP(I68,'AUX UF'!$B$6:$C$1048576,2,FALSE)</f>
        <v>28539.732580645199</v>
      </c>
      <c r="K68" s="432">
        <f t="shared" si="4"/>
        <v>5.9769656046350965</v>
      </c>
      <c r="L68" s="432">
        <f t="shared" si="5"/>
        <v>3.9846203771762574</v>
      </c>
      <c r="M68" s="432">
        <f t="shared" si="6"/>
        <v>1.5952497056989154</v>
      </c>
    </row>
    <row r="69" spans="2:13" x14ac:dyDescent="0.25">
      <c r="B69" s="433">
        <f t="shared" si="1"/>
        <v>2020</v>
      </c>
      <c r="C69" s="434">
        <v>43922</v>
      </c>
      <c r="D69" s="428">
        <v>171113</v>
      </c>
      <c r="E69" s="428">
        <v>114075</v>
      </c>
      <c r="F69" s="428">
        <v>46070</v>
      </c>
      <c r="G69" s="435"/>
      <c r="H69" s="433">
        <f t="shared" si="2"/>
        <v>2020</v>
      </c>
      <c r="I69" s="436">
        <f t="shared" si="3"/>
        <v>43922</v>
      </c>
      <c r="J69" s="428">
        <f>VLOOKUP(I69,'AUX UF'!$B$6:$C$1048576,2,FALSE)</f>
        <v>28648.235000000001</v>
      </c>
      <c r="K69" s="432">
        <f t="shared" si="4"/>
        <v>5.9728985049166203</v>
      </c>
      <c r="L69" s="432">
        <f t="shared" si="5"/>
        <v>3.9819207012229549</v>
      </c>
      <c r="M69" s="432">
        <f t="shared" si="6"/>
        <v>1.6081269928147406</v>
      </c>
    </row>
    <row r="70" spans="2:13" x14ac:dyDescent="0.25">
      <c r="B70" s="433">
        <f t="shared" ref="B70:B133" si="7">YEAR(C70)</f>
        <v>2020</v>
      </c>
      <c r="C70" s="434">
        <v>43952</v>
      </c>
      <c r="D70" s="428">
        <v>170688</v>
      </c>
      <c r="E70" s="428">
        <v>113792</v>
      </c>
      <c r="F70" s="428">
        <v>45833</v>
      </c>
      <c r="G70" s="435"/>
      <c r="H70" s="433">
        <f t="shared" ref="H70:H133" si="8">B70</f>
        <v>2020</v>
      </c>
      <c r="I70" s="436">
        <f t="shared" ref="I70:I133" si="9">C70</f>
        <v>43952</v>
      </c>
      <c r="J70" s="428">
        <f>VLOOKUP(I70,'AUX UF'!$B$6:$C$1048576,2,FALSE)</f>
        <v>28713.1912903226</v>
      </c>
      <c r="K70" s="432">
        <f t="shared" ref="K70:K124" si="10">D70/$J70</f>
        <v>5.9445847824490388</v>
      </c>
      <c r="L70" s="432">
        <f t="shared" si="5"/>
        <v>3.9630565216326925</v>
      </c>
      <c r="M70" s="432">
        <f t="shared" si="6"/>
        <v>1.5962349686796189</v>
      </c>
    </row>
    <row r="71" spans="2:13" x14ac:dyDescent="0.25">
      <c r="B71" s="433">
        <f t="shared" si="7"/>
        <v>2020</v>
      </c>
      <c r="C71" s="434">
        <v>43983</v>
      </c>
      <c r="D71" s="428">
        <v>170253</v>
      </c>
      <c r="E71" s="428">
        <v>113502</v>
      </c>
      <c r="F71" s="428">
        <v>45674</v>
      </c>
      <c r="G71" s="435"/>
      <c r="H71" s="433">
        <f t="shared" si="8"/>
        <v>2020</v>
      </c>
      <c r="I71" s="436">
        <f t="shared" si="9"/>
        <v>43983</v>
      </c>
      <c r="J71" s="428">
        <f>VLOOKUP(I71,'AUX UF'!$B$6:$C$1048576,2,FALSE)</f>
        <v>28709.147333333302</v>
      </c>
      <c r="K71" s="432">
        <f t="shared" si="10"/>
        <v>5.930270168711159</v>
      </c>
      <c r="L71" s="432">
        <f t="shared" si="5"/>
        <v>3.9535134458074395</v>
      </c>
      <c r="M71" s="432">
        <f t="shared" si="6"/>
        <v>1.5909215090818574</v>
      </c>
    </row>
    <row r="72" spans="2:13" x14ac:dyDescent="0.25">
      <c r="B72" s="433">
        <f t="shared" si="7"/>
        <v>2020</v>
      </c>
      <c r="C72" s="434">
        <v>44013</v>
      </c>
      <c r="D72" s="428">
        <v>170933</v>
      </c>
      <c r="E72" s="428">
        <v>113955</v>
      </c>
      <c r="F72" s="428">
        <v>46119</v>
      </c>
      <c r="G72" s="435"/>
      <c r="H72" s="433">
        <f t="shared" si="8"/>
        <v>2020</v>
      </c>
      <c r="I72" s="436">
        <f t="shared" si="9"/>
        <v>44013</v>
      </c>
      <c r="J72" s="428">
        <f>VLOOKUP(I72,'AUX UF'!$B$6:$C$1048576,2,FALSE)</f>
        <v>28681.357419354801</v>
      </c>
      <c r="K72" s="432">
        <f t="shared" si="10"/>
        <v>5.9597249007695403</v>
      </c>
      <c r="L72" s="432">
        <f t="shared" si="5"/>
        <v>3.9731383118952626</v>
      </c>
      <c r="M72" s="432">
        <f t="shared" si="6"/>
        <v>1.6079782879759346</v>
      </c>
    </row>
    <row r="73" spans="2:13" x14ac:dyDescent="0.25">
      <c r="B73" s="433">
        <f t="shared" si="7"/>
        <v>2020</v>
      </c>
      <c r="C73" s="434">
        <v>44044</v>
      </c>
      <c r="D73" s="428">
        <v>171084</v>
      </c>
      <c r="E73" s="428">
        <v>114056</v>
      </c>
      <c r="F73" s="428">
        <v>46143</v>
      </c>
      <c r="G73" s="435"/>
      <c r="H73" s="433">
        <f t="shared" si="8"/>
        <v>2020</v>
      </c>
      <c r="I73" s="436">
        <f t="shared" si="9"/>
        <v>44044</v>
      </c>
      <c r="J73" s="428">
        <f>VLOOKUP(I73,'AUX UF'!$B$6:$C$1048576,2,FALSE)</f>
        <v>28667.727741935501</v>
      </c>
      <c r="K73" s="432">
        <f t="shared" si="10"/>
        <v>5.9678256170172927</v>
      </c>
      <c r="L73" s="432">
        <f t="shared" si="5"/>
        <v>3.978550411344862</v>
      </c>
      <c r="M73" s="432">
        <f t="shared" si="6"/>
        <v>1.6095799574830432</v>
      </c>
    </row>
    <row r="74" spans="2:13" x14ac:dyDescent="0.25">
      <c r="B74" s="433">
        <f t="shared" si="7"/>
        <v>2020</v>
      </c>
      <c r="C74" s="434">
        <v>44075</v>
      </c>
      <c r="D74" s="428">
        <v>172871</v>
      </c>
      <c r="E74" s="428">
        <v>115248</v>
      </c>
      <c r="F74" s="428">
        <v>47067</v>
      </c>
      <c r="G74" s="435"/>
      <c r="H74" s="433">
        <f t="shared" si="8"/>
        <v>2020</v>
      </c>
      <c r="I74" s="436">
        <f t="shared" si="9"/>
        <v>44075</v>
      </c>
      <c r="J74" s="428">
        <f>VLOOKUP(I74,'AUX UF'!$B$6:$C$1048576,2,FALSE)</f>
        <v>28694.021333333301</v>
      </c>
      <c r="K74" s="432">
        <f t="shared" si="10"/>
        <v>6.0246348182357776</v>
      </c>
      <c r="L74" s="432">
        <f t="shared" si="5"/>
        <v>4.0164464458008391</v>
      </c>
      <c r="M74" s="432">
        <f t="shared" si="6"/>
        <v>1.6403068588132386</v>
      </c>
    </row>
    <row r="75" spans="2:13" x14ac:dyDescent="0.25">
      <c r="B75" s="433">
        <f t="shared" si="7"/>
        <v>2020</v>
      </c>
      <c r="C75" s="434">
        <v>44105</v>
      </c>
      <c r="D75" s="428">
        <v>173993</v>
      </c>
      <c r="E75" s="428">
        <v>115995</v>
      </c>
      <c r="F75" s="428">
        <v>47360</v>
      </c>
      <c r="G75" s="435"/>
      <c r="H75" s="433">
        <f t="shared" si="8"/>
        <v>2020</v>
      </c>
      <c r="I75" s="436">
        <f t="shared" si="9"/>
        <v>44105</v>
      </c>
      <c r="J75" s="428">
        <f>VLOOKUP(I75,'AUX UF'!$B$6:$C$1048576,2,FALSE)</f>
        <v>28760.638709677401</v>
      </c>
      <c r="K75" s="432">
        <f t="shared" si="10"/>
        <v>6.0496917942734942</v>
      </c>
      <c r="L75" s="432">
        <f t="shared" si="5"/>
        <v>4.033116272934854</v>
      </c>
      <c r="M75" s="432">
        <f t="shared" si="6"/>
        <v>1.6466950013896691</v>
      </c>
    </row>
    <row r="76" spans="2:13" x14ac:dyDescent="0.25">
      <c r="B76" s="433">
        <f t="shared" si="7"/>
        <v>2020</v>
      </c>
      <c r="C76" s="434">
        <v>44136</v>
      </c>
      <c r="D76" s="428">
        <v>174131</v>
      </c>
      <c r="E76" s="428">
        <v>116087</v>
      </c>
      <c r="F76" s="428">
        <v>47599</v>
      </c>
      <c r="G76" s="435"/>
      <c r="H76" s="433">
        <f t="shared" si="8"/>
        <v>2020</v>
      </c>
      <c r="I76" s="436">
        <f t="shared" si="9"/>
        <v>44136</v>
      </c>
      <c r="J76" s="428">
        <f>VLOOKUP(I76,'AUX UF'!$B$6:$C$1048576,2,FALSE)</f>
        <v>28933.883000000002</v>
      </c>
      <c r="K76" s="432">
        <f t="shared" si="10"/>
        <v>6.0182382019032836</v>
      </c>
      <c r="L76" s="432">
        <f t="shared" si="5"/>
        <v>4.0121472807503924</v>
      </c>
      <c r="M76" s="432">
        <f t="shared" si="6"/>
        <v>1.645095475087115</v>
      </c>
    </row>
    <row r="77" spans="2:13" x14ac:dyDescent="0.25">
      <c r="B77" s="433">
        <f t="shared" si="7"/>
        <v>2020</v>
      </c>
      <c r="C77" s="434">
        <v>44166</v>
      </c>
      <c r="D77" s="428">
        <v>174943</v>
      </c>
      <c r="E77" s="428">
        <v>116629</v>
      </c>
      <c r="F77" s="428">
        <v>47880</v>
      </c>
      <c r="G77" s="435"/>
      <c r="H77" s="433">
        <f t="shared" si="8"/>
        <v>2020</v>
      </c>
      <c r="I77" s="436">
        <f t="shared" si="9"/>
        <v>44166</v>
      </c>
      <c r="J77" s="428">
        <f>VLOOKUP(I77,'AUX UF'!$B$6:$C$1048576,2,FALSE)</f>
        <v>29075.469677419402</v>
      </c>
      <c r="K77" s="432">
        <f t="shared" si="10"/>
        <v>6.0168589515809021</v>
      </c>
      <c r="L77" s="432">
        <f t="shared" si="5"/>
        <v>4.0112507654717762</v>
      </c>
      <c r="M77" s="432">
        <f t="shared" si="6"/>
        <v>1.6467489788199217</v>
      </c>
    </row>
    <row r="78" spans="2:13" x14ac:dyDescent="0.25">
      <c r="B78" s="433">
        <f t="shared" si="7"/>
        <v>2021</v>
      </c>
      <c r="C78" s="434">
        <v>44197</v>
      </c>
      <c r="D78" s="428">
        <v>176625</v>
      </c>
      <c r="E78" s="428">
        <v>117750</v>
      </c>
      <c r="F78" s="428">
        <v>48605</v>
      </c>
      <c r="G78" s="435"/>
      <c r="H78" s="433">
        <f t="shared" si="8"/>
        <v>2021</v>
      </c>
      <c r="I78" s="436">
        <f t="shared" si="9"/>
        <v>44197</v>
      </c>
      <c r="J78" s="428">
        <f>VLOOKUP(I78,'AUX UF'!$B$6:$C$1048576,2,FALSE)</f>
        <v>29085.914838709701</v>
      </c>
      <c r="K78" s="432">
        <f t="shared" si="10"/>
        <v>6.0725268907455607</v>
      </c>
      <c r="L78" s="432">
        <f t="shared" si="5"/>
        <v>4.0483512604970411</v>
      </c>
      <c r="M78" s="432">
        <f t="shared" si="6"/>
        <v>1.6710837623478443</v>
      </c>
    </row>
    <row r="79" spans="2:13" x14ac:dyDescent="0.25">
      <c r="B79" s="433">
        <f t="shared" si="7"/>
        <v>2021</v>
      </c>
      <c r="C79" s="434">
        <v>44228</v>
      </c>
      <c r="D79" s="428">
        <v>176323</v>
      </c>
      <c r="E79" s="428">
        <v>117548</v>
      </c>
      <c r="F79" s="428">
        <v>48160</v>
      </c>
      <c r="G79" s="435"/>
      <c r="H79" s="433">
        <f t="shared" si="8"/>
        <v>2021</v>
      </c>
      <c r="I79" s="436">
        <f t="shared" si="9"/>
        <v>44228</v>
      </c>
      <c r="J79" s="428">
        <f>VLOOKUP(I79,'AUX UF'!$B$6:$C$1048576,2,FALSE)</f>
        <v>29194.814642857102</v>
      </c>
      <c r="K79" s="432">
        <f t="shared" si="10"/>
        <v>6.0395314084701601</v>
      </c>
      <c r="L79" s="432">
        <f t="shared" si="5"/>
        <v>4.0263314372081371</v>
      </c>
      <c r="M79" s="432">
        <f t="shared" si="6"/>
        <v>1.6496080070774823</v>
      </c>
    </row>
    <row r="80" spans="2:13" x14ac:dyDescent="0.25">
      <c r="B80" s="433">
        <f t="shared" si="7"/>
        <v>2021</v>
      </c>
      <c r="C80" s="434">
        <v>44256</v>
      </c>
      <c r="D80" s="428">
        <v>176201</v>
      </c>
      <c r="E80" s="428">
        <v>117467</v>
      </c>
      <c r="F80" s="428">
        <v>47691</v>
      </c>
      <c r="G80" s="435"/>
      <c r="H80" s="433">
        <f t="shared" si="8"/>
        <v>2021</v>
      </c>
      <c r="I80" s="436">
        <f t="shared" si="9"/>
        <v>44256</v>
      </c>
      <c r="J80" s="428">
        <f>VLOOKUP(I80,'AUX UF'!$B$6:$C$1048576,2,FALSE)</f>
        <v>29360.0819354839</v>
      </c>
      <c r="K80" s="432">
        <f t="shared" si="10"/>
        <v>6.0013797096065877</v>
      </c>
      <c r="L80" s="432">
        <f t="shared" si="5"/>
        <v>4.0009084531209078</v>
      </c>
      <c r="M80" s="432">
        <f t="shared" si="6"/>
        <v>1.624348327937116</v>
      </c>
    </row>
    <row r="81" spans="2:13" x14ac:dyDescent="0.25">
      <c r="B81" s="433">
        <f t="shared" si="7"/>
        <v>2021</v>
      </c>
      <c r="C81" s="434">
        <v>44287</v>
      </c>
      <c r="D81" s="428">
        <v>176957</v>
      </c>
      <c r="E81" s="428">
        <v>117971</v>
      </c>
      <c r="F81" s="428">
        <v>48004</v>
      </c>
      <c r="G81" s="435"/>
      <c r="H81" s="433">
        <f t="shared" si="8"/>
        <v>2021</v>
      </c>
      <c r="I81" s="436">
        <f t="shared" si="9"/>
        <v>44287</v>
      </c>
      <c r="J81" s="428">
        <f>VLOOKUP(I81,'AUX UF'!$B$6:$C$1048576,2,FALSE)</f>
        <v>29439.7186666667</v>
      </c>
      <c r="K81" s="432">
        <f t="shared" si="10"/>
        <v>6.0108251034464075</v>
      </c>
      <c r="L81" s="432">
        <f t="shared" si="5"/>
        <v>4.00720541305897</v>
      </c>
      <c r="M81" s="432">
        <f t="shared" si="6"/>
        <v>1.6305862343159148</v>
      </c>
    </row>
    <row r="82" spans="2:13" x14ac:dyDescent="0.25">
      <c r="B82" s="433">
        <f t="shared" si="7"/>
        <v>2021</v>
      </c>
      <c r="C82" s="434">
        <v>44317</v>
      </c>
      <c r="D82" s="428">
        <v>177124</v>
      </c>
      <c r="E82" s="428">
        <v>118083</v>
      </c>
      <c r="F82" s="428">
        <v>47837</v>
      </c>
      <c r="G82" s="435"/>
      <c r="H82" s="433">
        <f t="shared" si="8"/>
        <v>2021</v>
      </c>
      <c r="I82" s="436">
        <f t="shared" si="9"/>
        <v>44317</v>
      </c>
      <c r="J82" s="428">
        <f>VLOOKUP(I82,'AUX UF'!$B$6:$C$1048576,2,FALSE)</f>
        <v>29555.982580645199</v>
      </c>
      <c r="K82" s="432">
        <f t="shared" si="10"/>
        <v>5.9928307075126659</v>
      </c>
      <c r="L82" s="432">
        <f t="shared" si="5"/>
        <v>3.9952317497076519</v>
      </c>
      <c r="M82" s="432">
        <f t="shared" si="6"/>
        <v>1.6185217280282931</v>
      </c>
    </row>
    <row r="83" spans="2:13" x14ac:dyDescent="0.25">
      <c r="B83" s="433">
        <f t="shared" si="7"/>
        <v>2021</v>
      </c>
      <c r="C83" s="434">
        <v>44348</v>
      </c>
      <c r="D83" s="428">
        <v>177176</v>
      </c>
      <c r="E83" s="428">
        <v>118117</v>
      </c>
      <c r="F83" s="428">
        <v>47811</v>
      </c>
      <c r="G83" s="435"/>
      <c r="H83" s="433">
        <f t="shared" si="8"/>
        <v>2021</v>
      </c>
      <c r="I83" s="436">
        <f t="shared" si="9"/>
        <v>44348</v>
      </c>
      <c r="J83" s="428">
        <f>VLOOKUP(I83,'AUX UF'!$B$6:$C$1048576,2,FALSE)</f>
        <v>29665.83</v>
      </c>
      <c r="K83" s="432">
        <f t="shared" si="10"/>
        <v>5.9723931540091746</v>
      </c>
      <c r="L83" s="432">
        <f t="shared" si="5"/>
        <v>3.9815841997341721</v>
      </c>
      <c r="M83" s="432">
        <f t="shared" si="6"/>
        <v>1.6116521937865886</v>
      </c>
    </row>
    <row r="84" spans="2:13" x14ac:dyDescent="0.25">
      <c r="B84" s="433">
        <f t="shared" si="7"/>
        <v>2021</v>
      </c>
      <c r="C84" s="434">
        <v>44378</v>
      </c>
      <c r="D84" s="428">
        <v>178345</v>
      </c>
      <c r="E84" s="428">
        <v>118896</v>
      </c>
      <c r="F84" s="428">
        <v>48079</v>
      </c>
      <c r="G84" s="435"/>
      <c r="H84" s="433">
        <f t="shared" si="8"/>
        <v>2021</v>
      </c>
      <c r="I84" s="436">
        <f t="shared" si="9"/>
        <v>44378</v>
      </c>
      <c r="J84" s="428">
        <f>VLOOKUP(I84,'AUX UF'!$B$6:$C$1048576,2,FALSE)</f>
        <v>29740.92</v>
      </c>
      <c r="K84" s="432">
        <f t="shared" si="10"/>
        <v>5.9966201449047309</v>
      </c>
      <c r="L84" s="432">
        <f t="shared" si="5"/>
        <v>3.9977243474647053</v>
      </c>
      <c r="M84" s="432">
        <f t="shared" si="6"/>
        <v>1.6165942412003396</v>
      </c>
    </row>
    <row r="85" spans="2:13" x14ac:dyDescent="0.25">
      <c r="B85" s="433">
        <f t="shared" si="7"/>
        <v>2021</v>
      </c>
      <c r="C85" s="434">
        <v>44409</v>
      </c>
      <c r="D85" s="428">
        <v>178958</v>
      </c>
      <c r="E85" s="428">
        <v>119305</v>
      </c>
      <c r="F85" s="428">
        <v>48260</v>
      </c>
      <c r="G85" s="435"/>
      <c r="H85" s="433">
        <f t="shared" si="8"/>
        <v>2021</v>
      </c>
      <c r="I85" s="436">
        <f t="shared" si="9"/>
        <v>44409</v>
      </c>
      <c r="J85" s="428">
        <f>VLOOKUP(I85,'AUX UF'!$B$6:$C$1048576,2,FALSE)</f>
        <v>29827.728709677402</v>
      </c>
      <c r="K85" s="432">
        <f t="shared" si="10"/>
        <v>5.9997193129203401</v>
      </c>
      <c r="L85" s="432">
        <f t="shared" ref="L85:L124" si="11">E85/$J85</f>
        <v>3.9998016999964303</v>
      </c>
      <c r="M85" s="432">
        <f t="shared" ref="M85:M124" si="12">F85/$J85</f>
        <v>1.6179575880459975</v>
      </c>
    </row>
    <row r="86" spans="2:13" x14ac:dyDescent="0.25">
      <c r="B86" s="433">
        <f t="shared" si="7"/>
        <v>2021</v>
      </c>
      <c r="C86" s="434">
        <v>44440</v>
      </c>
      <c r="D86" s="428">
        <v>181216</v>
      </c>
      <c r="E86" s="428">
        <v>120810</v>
      </c>
      <c r="F86" s="428">
        <v>49075</v>
      </c>
      <c r="G86" s="435"/>
      <c r="H86" s="433">
        <f t="shared" si="8"/>
        <v>2021</v>
      </c>
      <c r="I86" s="436">
        <f t="shared" si="9"/>
        <v>44440</v>
      </c>
      <c r="J86" s="428">
        <f>VLOOKUP(I86,'AUX UF'!$B$6:$C$1048576,2,FALSE)</f>
        <v>30025.934333333302</v>
      </c>
      <c r="K86" s="432">
        <f t="shared" si="10"/>
        <v>6.0353159368240874</v>
      </c>
      <c r="L86" s="432">
        <f t="shared" si="11"/>
        <v>4.023521754854527</v>
      </c>
      <c r="M86" s="432">
        <f t="shared" si="12"/>
        <v>1.6344204132065716</v>
      </c>
    </row>
    <row r="87" spans="2:13" x14ac:dyDescent="0.25">
      <c r="B87" s="433">
        <f t="shared" si="7"/>
        <v>2021</v>
      </c>
      <c r="C87" s="434">
        <v>44470</v>
      </c>
      <c r="D87" s="428">
        <v>184102</v>
      </c>
      <c r="E87" s="428">
        <v>122734</v>
      </c>
      <c r="F87" s="428">
        <v>49949</v>
      </c>
      <c r="G87" s="435"/>
      <c r="H87" s="433">
        <f t="shared" si="8"/>
        <v>2021</v>
      </c>
      <c r="I87" s="436">
        <f t="shared" si="9"/>
        <v>44470</v>
      </c>
      <c r="J87" s="428">
        <f>VLOOKUP(I87,'AUX UF'!$B$6:$C$1048576,2,FALSE)</f>
        <v>30214.652580645201</v>
      </c>
      <c r="K87" s="432">
        <f t="shared" si="10"/>
        <v>6.0931364181209027</v>
      </c>
      <c r="L87" s="432">
        <f t="shared" si="11"/>
        <v>4.0620688810640351</v>
      </c>
      <c r="M87" s="432">
        <f t="shared" si="12"/>
        <v>1.6531383197831691</v>
      </c>
    </row>
    <row r="88" spans="2:13" x14ac:dyDescent="0.25">
      <c r="B88" s="433">
        <f t="shared" si="7"/>
        <v>2021</v>
      </c>
      <c r="C88" s="434">
        <v>44501</v>
      </c>
      <c r="D88" s="428">
        <v>184911</v>
      </c>
      <c r="E88" s="428">
        <v>123274</v>
      </c>
      <c r="F88" s="428">
        <v>50071</v>
      </c>
      <c r="G88" s="435"/>
      <c r="H88" s="433">
        <f t="shared" si="8"/>
        <v>2021</v>
      </c>
      <c r="I88" s="436">
        <f t="shared" si="9"/>
        <v>44501</v>
      </c>
      <c r="J88" s="428">
        <f>VLOOKUP(I88,'AUX UF'!$B$6:$C$1048576,2,FALSE)</f>
        <v>30573.237666666701</v>
      </c>
      <c r="K88" s="432">
        <f t="shared" si="10"/>
        <v>6.0481327498266308</v>
      </c>
      <c r="L88" s="432">
        <f t="shared" si="11"/>
        <v>4.0320884998844209</v>
      </c>
      <c r="M88" s="432">
        <f t="shared" si="12"/>
        <v>1.6377395337030747</v>
      </c>
    </row>
    <row r="89" spans="2:13" x14ac:dyDescent="0.25">
      <c r="B89" s="433">
        <f t="shared" si="7"/>
        <v>2021</v>
      </c>
      <c r="C89" s="434">
        <v>44531</v>
      </c>
      <c r="D89" s="428">
        <v>186022</v>
      </c>
      <c r="E89" s="428">
        <v>124015</v>
      </c>
      <c r="F89" s="428">
        <v>50237</v>
      </c>
      <c r="G89" s="435"/>
      <c r="H89" s="433">
        <f t="shared" si="8"/>
        <v>2021</v>
      </c>
      <c r="I89" s="436">
        <f t="shared" si="9"/>
        <v>44531</v>
      </c>
      <c r="J89" s="428">
        <f>VLOOKUP(I89,'AUX UF'!$B$6:$C$1048576,2,FALSE)</f>
        <v>30907.416129032299</v>
      </c>
      <c r="K89" s="432">
        <f t="shared" si="10"/>
        <v>6.0186849403196714</v>
      </c>
      <c r="L89" s="432">
        <f t="shared" si="11"/>
        <v>4.0124674117778758</v>
      </c>
      <c r="M89" s="432">
        <f t="shared" si="12"/>
        <v>1.6254027768051054</v>
      </c>
    </row>
    <row r="90" spans="2:13" x14ac:dyDescent="0.25">
      <c r="B90" s="433">
        <f t="shared" si="7"/>
        <v>2022</v>
      </c>
      <c r="C90" s="434">
        <v>44562</v>
      </c>
      <c r="D90" s="428">
        <v>188338</v>
      </c>
      <c r="E90" s="428">
        <v>125559</v>
      </c>
      <c r="F90" s="428">
        <v>50985</v>
      </c>
      <c r="G90" s="435"/>
      <c r="H90" s="433">
        <f t="shared" si="8"/>
        <v>2022</v>
      </c>
      <c r="I90" s="436">
        <f t="shared" si="9"/>
        <v>44562</v>
      </c>
      <c r="J90" s="428">
        <f>VLOOKUP(I90,'AUX UF'!$B$6:$C$1048576,2,FALSE)</f>
        <v>31096.086774193602</v>
      </c>
      <c r="K90" s="432">
        <f t="shared" si="10"/>
        <v>6.0566463352006155</v>
      </c>
      <c r="L90" s="432">
        <f t="shared" si="11"/>
        <v>4.0377749429294889</v>
      </c>
      <c r="M90" s="432">
        <f t="shared" si="12"/>
        <v>1.639595373213071</v>
      </c>
    </row>
    <row r="91" spans="2:13" x14ac:dyDescent="0.25">
      <c r="B91" s="433">
        <f t="shared" si="7"/>
        <v>2022</v>
      </c>
      <c r="C91" s="434">
        <v>44593</v>
      </c>
      <c r="D91" s="428">
        <v>189635</v>
      </c>
      <c r="E91" s="428">
        <v>126423</v>
      </c>
      <c r="F91" s="428">
        <v>51903</v>
      </c>
      <c r="G91" s="435"/>
      <c r="H91" s="433">
        <f t="shared" si="8"/>
        <v>2022</v>
      </c>
      <c r="I91" s="436">
        <f t="shared" si="9"/>
        <v>44593</v>
      </c>
      <c r="J91" s="428">
        <f>VLOOKUP(I91,'AUX UF'!$B$6:$C$1048576,2,FALSE)</f>
        <v>31365.3003571429</v>
      </c>
      <c r="K91" s="432">
        <f t="shared" si="10"/>
        <v>6.0460125629504438</v>
      </c>
      <c r="L91" s="432">
        <f t="shared" si="11"/>
        <v>4.0306644145114765</v>
      </c>
      <c r="M91" s="432">
        <f t="shared" si="12"/>
        <v>1.654790466184074</v>
      </c>
    </row>
    <row r="92" spans="2:13" x14ac:dyDescent="0.25">
      <c r="B92" s="433">
        <f t="shared" si="7"/>
        <v>2022</v>
      </c>
      <c r="C92" s="434">
        <v>44621</v>
      </c>
      <c r="D92" s="428">
        <v>194488</v>
      </c>
      <c r="E92" s="428">
        <v>129659</v>
      </c>
      <c r="F92" s="428">
        <v>54101</v>
      </c>
      <c r="G92" s="435"/>
      <c r="H92" s="433">
        <f t="shared" si="8"/>
        <v>2022</v>
      </c>
      <c r="I92" s="436">
        <f t="shared" si="9"/>
        <v>44621</v>
      </c>
      <c r="J92" s="428">
        <f>VLOOKUP(I92,'AUX UF'!$B$6:$C$1048576,2,FALSE)</f>
        <v>31669.700967741901</v>
      </c>
      <c r="K92" s="432">
        <f t="shared" si="10"/>
        <v>6.1411378717500815</v>
      </c>
      <c r="L92" s="432">
        <f t="shared" si="11"/>
        <v>4.0941024398073083</v>
      </c>
      <c r="M92" s="432">
        <f t="shared" si="12"/>
        <v>1.7082889432743982</v>
      </c>
    </row>
    <row r="93" spans="2:13" x14ac:dyDescent="0.25">
      <c r="B93" s="433">
        <f t="shared" si="7"/>
        <v>2022</v>
      </c>
      <c r="C93" s="434">
        <v>44652</v>
      </c>
      <c r="D93" s="428">
        <v>197636</v>
      </c>
      <c r="E93" s="428">
        <v>131757</v>
      </c>
      <c r="F93" s="428">
        <v>55346</v>
      </c>
      <c r="G93" s="435"/>
      <c r="H93" s="433">
        <f t="shared" si="8"/>
        <v>2022</v>
      </c>
      <c r="I93" s="436">
        <f t="shared" si="9"/>
        <v>44652</v>
      </c>
      <c r="J93" s="428">
        <f>VLOOKUP(I93,'AUX UF'!$B$6:$C$1048576,2,FALSE)</f>
        <v>31905.758000000002</v>
      </c>
      <c r="K93" s="432">
        <f t="shared" si="10"/>
        <v>6.1943678003199292</v>
      </c>
      <c r="L93" s="432">
        <f t="shared" si="11"/>
        <v>4.129568086111604</v>
      </c>
      <c r="M93" s="432">
        <f t="shared" si="12"/>
        <v>1.7346712151455546</v>
      </c>
    </row>
    <row r="94" spans="2:13" x14ac:dyDescent="0.25">
      <c r="B94" s="433">
        <f t="shared" si="7"/>
        <v>2022</v>
      </c>
      <c r="C94" s="434">
        <v>44682</v>
      </c>
      <c r="D94" s="428">
        <v>199899</v>
      </c>
      <c r="E94" s="428">
        <v>133266</v>
      </c>
      <c r="F94" s="428">
        <v>56095</v>
      </c>
      <c r="G94" s="435"/>
      <c r="H94" s="433">
        <f t="shared" si="8"/>
        <v>2022</v>
      </c>
      <c r="I94" s="436">
        <f t="shared" si="9"/>
        <v>44682</v>
      </c>
      <c r="J94" s="428">
        <f>VLOOKUP(I94,'AUX UF'!$B$6:$C$1048576,2,FALSE)</f>
        <v>32453.994838709699</v>
      </c>
      <c r="K94" s="432">
        <f t="shared" si="10"/>
        <v>6.1594574410164524</v>
      </c>
      <c r="L94" s="432">
        <f t="shared" si="11"/>
        <v>4.106304960677635</v>
      </c>
      <c r="M94" s="432">
        <f t="shared" si="12"/>
        <v>1.7284466913482204</v>
      </c>
    </row>
    <row r="95" spans="2:13" x14ac:dyDescent="0.25">
      <c r="B95" s="433">
        <f t="shared" si="7"/>
        <v>2022</v>
      </c>
      <c r="C95" s="434">
        <v>44713</v>
      </c>
      <c r="D95" s="428">
        <v>201230</v>
      </c>
      <c r="E95" s="428">
        <v>134153</v>
      </c>
      <c r="F95" s="428">
        <v>56386</v>
      </c>
      <c r="G95" s="435"/>
      <c r="H95" s="433">
        <f t="shared" si="8"/>
        <v>2022</v>
      </c>
      <c r="I95" s="436">
        <f t="shared" si="9"/>
        <v>44713</v>
      </c>
      <c r="J95" s="428">
        <f>VLOOKUP(I95,'AUX UF'!$B$6:$C$1048576,2,FALSE)</f>
        <v>32894.819333333297</v>
      </c>
      <c r="K95" s="432">
        <f t="shared" si="10"/>
        <v>6.1173766592506462</v>
      </c>
      <c r="L95" s="432">
        <f t="shared" si="11"/>
        <v>4.0782409728591755</v>
      </c>
      <c r="M95" s="432">
        <f t="shared" si="12"/>
        <v>1.7141301014188088</v>
      </c>
    </row>
    <row r="96" spans="2:13" x14ac:dyDescent="0.25">
      <c r="B96" s="433">
        <f t="shared" si="7"/>
        <v>2022</v>
      </c>
      <c r="C96" s="434">
        <v>44743</v>
      </c>
      <c r="D96" s="428">
        <v>205176</v>
      </c>
      <c r="E96" s="428">
        <v>136784</v>
      </c>
      <c r="F96" s="428">
        <v>58003</v>
      </c>
      <c r="G96" s="435"/>
      <c r="H96" s="433">
        <f t="shared" si="8"/>
        <v>2022</v>
      </c>
      <c r="I96" s="436">
        <f t="shared" si="9"/>
        <v>44743</v>
      </c>
      <c r="J96" s="428">
        <f>VLOOKUP(I96,'AUX UF'!$B$6:$C$1048576,2,FALSE)</f>
        <v>33268.629999999997</v>
      </c>
      <c r="K96" s="432">
        <f t="shared" si="10"/>
        <v>6.1672512514041014</v>
      </c>
      <c r="L96" s="432">
        <f t="shared" si="11"/>
        <v>4.1115008342694006</v>
      </c>
      <c r="M96" s="432">
        <f t="shared" si="12"/>
        <v>1.7434742578819749</v>
      </c>
    </row>
    <row r="97" spans="2:13" x14ac:dyDescent="0.25">
      <c r="B97" s="433">
        <f t="shared" si="7"/>
        <v>2022</v>
      </c>
      <c r="C97" s="434">
        <v>44774</v>
      </c>
      <c r="D97" s="428">
        <v>207917</v>
      </c>
      <c r="E97" s="428">
        <v>138611</v>
      </c>
      <c r="F97" s="428">
        <v>59063</v>
      </c>
      <c r="G97" s="435"/>
      <c r="H97" s="433">
        <f t="shared" si="8"/>
        <v>2022</v>
      </c>
      <c r="I97" s="436">
        <f t="shared" si="9"/>
        <v>44774</v>
      </c>
      <c r="J97" s="428">
        <f>VLOOKUP(I97,'AUX UF'!$B$6:$C$1048576,2,FALSE)</f>
        <v>33616.1093548387</v>
      </c>
      <c r="K97" s="432">
        <f t="shared" si="10"/>
        <v>6.1850405650846811</v>
      </c>
      <c r="L97" s="432">
        <f t="shared" si="11"/>
        <v>4.123350460842321</v>
      </c>
      <c r="M97" s="432">
        <f t="shared" si="12"/>
        <v>1.7569850031291165</v>
      </c>
    </row>
    <row r="98" spans="2:13" x14ac:dyDescent="0.25">
      <c r="B98" s="433">
        <f t="shared" si="7"/>
        <v>2022</v>
      </c>
      <c r="C98" s="434">
        <v>44805</v>
      </c>
      <c r="D98" s="428">
        <v>210529</v>
      </c>
      <c r="E98" s="428">
        <v>140352</v>
      </c>
      <c r="F98" s="428">
        <v>60393</v>
      </c>
      <c r="G98" s="435"/>
      <c r="H98" s="433">
        <f t="shared" si="8"/>
        <v>2022</v>
      </c>
      <c r="I98" s="436">
        <f t="shared" si="9"/>
        <v>44805</v>
      </c>
      <c r="J98" s="428">
        <f>VLOOKUP(I98,'AUX UF'!$B$6:$C$1048576,2,FALSE)</f>
        <v>34059.411333333301</v>
      </c>
      <c r="K98" s="432">
        <f t="shared" si="10"/>
        <v>6.1812283817706284</v>
      </c>
      <c r="L98" s="432">
        <f t="shared" si="11"/>
        <v>4.1207993475401077</v>
      </c>
      <c r="M98" s="432">
        <f t="shared" si="12"/>
        <v>1.7731662890161144</v>
      </c>
    </row>
    <row r="99" spans="2:13" x14ac:dyDescent="0.25">
      <c r="B99" s="433">
        <f t="shared" si="7"/>
        <v>2022</v>
      </c>
      <c r="C99" s="434">
        <v>44835</v>
      </c>
      <c r="D99" s="428">
        <v>212498</v>
      </c>
      <c r="E99" s="428">
        <v>141666</v>
      </c>
      <c r="F99" s="428">
        <v>61357</v>
      </c>
      <c r="G99" s="435"/>
      <c r="H99" s="433">
        <f t="shared" si="8"/>
        <v>2022</v>
      </c>
      <c r="I99" s="436">
        <f t="shared" si="9"/>
        <v>44835</v>
      </c>
      <c r="J99" s="428">
        <f>VLOOKUP(I99,'AUX UF'!$B$6:$C$1048576,2,FALSE)</f>
        <v>34446.456129032304</v>
      </c>
      <c r="K99" s="432">
        <f t="shared" si="10"/>
        <v>6.168936485193365</v>
      </c>
      <c r="L99" s="432">
        <f t="shared" si="11"/>
        <v>4.1126436771706238</v>
      </c>
      <c r="M99" s="432">
        <f t="shared" si="12"/>
        <v>1.7812282276633631</v>
      </c>
    </row>
    <row r="100" spans="2:13" x14ac:dyDescent="0.25">
      <c r="B100" s="433">
        <f t="shared" si="7"/>
        <v>2022</v>
      </c>
      <c r="C100" s="434">
        <v>44866</v>
      </c>
      <c r="D100" s="428">
        <v>216849</v>
      </c>
      <c r="E100" s="428">
        <v>144566</v>
      </c>
      <c r="F100" s="428">
        <v>63587</v>
      </c>
      <c r="G100" s="435"/>
      <c r="H100" s="433">
        <f t="shared" si="8"/>
        <v>2022</v>
      </c>
      <c r="I100" s="436">
        <f t="shared" si="9"/>
        <v>44866</v>
      </c>
      <c r="J100" s="428">
        <f>VLOOKUP(I100,'AUX UF'!$B$6:$C$1048576,2,FALSE)</f>
        <v>34722.909666666703</v>
      </c>
      <c r="K100" s="432">
        <f t="shared" si="10"/>
        <v>6.2451275564665796</v>
      </c>
      <c r="L100" s="432">
        <f t="shared" si="11"/>
        <v>4.1634183709777197</v>
      </c>
      <c r="M100" s="432">
        <f t="shared" si="12"/>
        <v>1.8312693437970218</v>
      </c>
    </row>
    <row r="101" spans="2:13" x14ac:dyDescent="0.25">
      <c r="B101" s="433">
        <f t="shared" si="7"/>
        <v>2022</v>
      </c>
      <c r="C101" s="434">
        <v>44896</v>
      </c>
      <c r="D101" s="428">
        <v>218126</v>
      </c>
      <c r="E101" s="428">
        <v>145417</v>
      </c>
      <c r="F101" s="428">
        <v>64407</v>
      </c>
      <c r="G101" s="435"/>
      <c r="H101" s="433">
        <f t="shared" si="8"/>
        <v>2022</v>
      </c>
      <c r="I101" s="436">
        <f t="shared" si="9"/>
        <v>44896</v>
      </c>
      <c r="J101" s="428">
        <f>VLOOKUP(I101,'AUX UF'!$B$6:$C$1048576,2,FALSE)</f>
        <v>34948.7422580645</v>
      </c>
      <c r="K101" s="432">
        <f t="shared" si="10"/>
        <v>6.2413118729520782</v>
      </c>
      <c r="L101" s="432">
        <f t="shared" si="11"/>
        <v>4.1608650441903876</v>
      </c>
      <c r="M101" s="432">
        <f t="shared" si="12"/>
        <v>1.8428989382339773</v>
      </c>
    </row>
    <row r="102" spans="2:13" x14ac:dyDescent="0.25">
      <c r="B102" s="433">
        <f t="shared" si="7"/>
        <v>2023</v>
      </c>
      <c r="C102" s="434">
        <v>44927</v>
      </c>
      <c r="D102" s="428">
        <v>219970</v>
      </c>
      <c r="E102" s="428">
        <v>146647</v>
      </c>
      <c r="F102" s="428">
        <v>65046</v>
      </c>
      <c r="G102" s="435"/>
      <c r="H102" s="433">
        <f t="shared" si="8"/>
        <v>2023</v>
      </c>
      <c r="I102" s="436">
        <f t="shared" si="9"/>
        <v>44927</v>
      </c>
      <c r="J102" s="428">
        <f>VLOOKUP(I102,'AUX UF'!$B$6:$C$1048576,2,FALSE)</f>
        <v>35227.236451612902</v>
      </c>
      <c r="K102" s="432">
        <f t="shared" si="10"/>
        <v>6.2443161075704685</v>
      </c>
      <c r="L102" s="432">
        <f t="shared" si="11"/>
        <v>4.1628868674223147</v>
      </c>
      <c r="M102" s="432">
        <f t="shared" si="12"/>
        <v>1.8464689981953388</v>
      </c>
    </row>
    <row r="103" spans="2:13" x14ac:dyDescent="0.25">
      <c r="B103" s="433">
        <f t="shared" si="7"/>
        <v>2023</v>
      </c>
      <c r="C103" s="434">
        <v>44958</v>
      </c>
      <c r="D103" s="428">
        <v>218663</v>
      </c>
      <c r="E103" s="428">
        <v>145775</v>
      </c>
      <c r="F103" s="428">
        <v>64289</v>
      </c>
      <c r="G103" s="435"/>
      <c r="H103" s="433">
        <f t="shared" si="8"/>
        <v>2023</v>
      </c>
      <c r="I103" s="436">
        <f t="shared" si="9"/>
        <v>44958</v>
      </c>
      <c r="J103" s="428">
        <f>VLOOKUP(I103,'AUX UF'!$B$6:$C$1048576,2,FALSE)</f>
        <v>35382.141785714302</v>
      </c>
      <c r="K103" s="432">
        <f t="shared" si="10"/>
        <v>6.1800385438590428</v>
      </c>
      <c r="L103" s="432">
        <f t="shared" si="11"/>
        <v>4.1200162749575924</v>
      </c>
      <c r="M103" s="432">
        <f t="shared" si="12"/>
        <v>1.8169900620871111</v>
      </c>
    </row>
    <row r="104" spans="2:13" x14ac:dyDescent="0.25">
      <c r="B104" s="433">
        <f t="shared" si="7"/>
        <v>2023</v>
      </c>
      <c r="C104" s="434">
        <v>44986</v>
      </c>
      <c r="D104" s="428">
        <v>220390</v>
      </c>
      <c r="E104" s="428">
        <v>146927</v>
      </c>
      <c r="F104" s="428">
        <v>64384</v>
      </c>
      <c r="G104" s="435"/>
      <c r="H104" s="433">
        <f t="shared" si="8"/>
        <v>2023</v>
      </c>
      <c r="I104" s="436">
        <f t="shared" si="9"/>
        <v>44986</v>
      </c>
      <c r="J104" s="428">
        <f>VLOOKUP(I104,'AUX UF'!$B$6:$C$1048576,2,FALSE)</f>
        <v>35579.618387096802</v>
      </c>
      <c r="K104" s="432">
        <f t="shared" si="10"/>
        <v>6.1942766671136074</v>
      </c>
      <c r="L104" s="432">
        <f t="shared" si="11"/>
        <v>4.1295271467353372</v>
      </c>
      <c r="M104" s="432">
        <f t="shared" si="12"/>
        <v>1.8095753388785449</v>
      </c>
    </row>
    <row r="105" spans="2:13" x14ac:dyDescent="0.25">
      <c r="B105" s="433">
        <f t="shared" si="7"/>
        <v>2023</v>
      </c>
      <c r="C105" s="434">
        <v>45017</v>
      </c>
      <c r="D105" s="428">
        <v>220301</v>
      </c>
      <c r="E105" s="428">
        <v>146867</v>
      </c>
      <c r="F105" s="428">
        <v>64031</v>
      </c>
      <c r="G105" s="435"/>
      <c r="H105" s="433">
        <f t="shared" si="8"/>
        <v>2023</v>
      </c>
      <c r="I105" s="436">
        <f t="shared" si="9"/>
        <v>45017</v>
      </c>
      <c r="J105" s="428">
        <f>VLOOKUP(I105,'AUX UF'!$B$6:$C$1048576,2,FALSE)</f>
        <v>35666.653333333299</v>
      </c>
      <c r="K105" s="432">
        <f t="shared" si="10"/>
        <v>6.1766658604358415</v>
      </c>
      <c r="L105" s="432">
        <f t="shared" si="11"/>
        <v>4.1177678944926752</v>
      </c>
      <c r="M105" s="432">
        <f t="shared" si="12"/>
        <v>1.7952623533691059</v>
      </c>
    </row>
    <row r="106" spans="2:13" x14ac:dyDescent="0.25">
      <c r="B106" s="433">
        <f t="shared" si="7"/>
        <v>2023</v>
      </c>
      <c r="C106" s="434">
        <v>45047</v>
      </c>
      <c r="D106" s="428">
        <v>219940</v>
      </c>
      <c r="E106" s="428">
        <v>146627</v>
      </c>
      <c r="F106" s="428">
        <v>63741</v>
      </c>
      <c r="G106" s="435"/>
      <c r="H106" s="433">
        <f t="shared" si="8"/>
        <v>2023</v>
      </c>
      <c r="I106" s="436">
        <f t="shared" si="9"/>
        <v>45047</v>
      </c>
      <c r="J106" s="428">
        <f>VLOOKUP(I106,'AUX UF'!$B$6:$C$1048576,2,FALSE)</f>
        <v>35969.534193548403</v>
      </c>
      <c r="K106" s="432">
        <f t="shared" si="10"/>
        <v>6.1146190778152771</v>
      </c>
      <c r="L106" s="432">
        <f t="shared" si="11"/>
        <v>4.0764219856452693</v>
      </c>
      <c r="M106" s="432">
        <f t="shared" si="12"/>
        <v>1.7720829982678166</v>
      </c>
    </row>
    <row r="107" spans="2:13" x14ac:dyDescent="0.25">
      <c r="B107" s="433">
        <f t="shared" si="7"/>
        <v>2023</v>
      </c>
      <c r="C107" s="434">
        <v>45078</v>
      </c>
      <c r="D107" s="428">
        <v>219549</v>
      </c>
      <c r="E107" s="428">
        <v>146366</v>
      </c>
      <c r="F107" s="428">
        <v>63768</v>
      </c>
      <c r="G107" s="435"/>
      <c r="H107" s="433">
        <f t="shared" si="8"/>
        <v>2023</v>
      </c>
      <c r="I107" s="436">
        <f t="shared" si="9"/>
        <v>45078</v>
      </c>
      <c r="J107" s="428">
        <f>VLOOKUP(I107,'AUX UF'!$B$6:$C$1048576,2,FALSE)</f>
        <v>36069.313000000002</v>
      </c>
      <c r="K107" s="432">
        <f t="shared" si="10"/>
        <v>6.0868639222488099</v>
      </c>
      <c r="L107" s="432">
        <f t="shared" si="11"/>
        <v>4.0579092814992066</v>
      </c>
      <c r="M107" s="432">
        <f t="shared" si="12"/>
        <v>1.7679294307601587</v>
      </c>
    </row>
    <row r="108" spans="2:13" x14ac:dyDescent="0.25">
      <c r="B108" s="433">
        <f t="shared" si="7"/>
        <v>2023</v>
      </c>
      <c r="C108" s="434">
        <v>45108</v>
      </c>
      <c r="D108" s="428">
        <v>221123</v>
      </c>
      <c r="E108" s="428">
        <v>147415</v>
      </c>
      <c r="F108" s="428">
        <v>64719</v>
      </c>
      <c r="G108" s="435"/>
      <c r="H108" s="433">
        <f t="shared" si="8"/>
        <v>2023</v>
      </c>
      <c r="I108" s="436">
        <f t="shared" si="9"/>
        <v>45108</v>
      </c>
      <c r="J108" s="428">
        <f>VLOOKUP(I108,'AUX UF'!$B$6:$C$1048576,2,FALSE)</f>
        <v>36079.886129032297</v>
      </c>
      <c r="K108" s="432">
        <f t="shared" si="10"/>
        <v>6.1287055953890501</v>
      </c>
      <c r="L108" s="432">
        <f t="shared" si="11"/>
        <v>4.0857944915014572</v>
      </c>
      <c r="M108" s="432">
        <f t="shared" si="12"/>
        <v>1.7937695193534093</v>
      </c>
    </row>
    <row r="109" spans="2:13" x14ac:dyDescent="0.25">
      <c r="B109" s="433">
        <f t="shared" si="7"/>
        <v>2023</v>
      </c>
      <c r="C109" s="434">
        <v>45139</v>
      </c>
      <c r="D109" s="428">
        <v>222155</v>
      </c>
      <c r="E109" s="428">
        <v>148103</v>
      </c>
      <c r="F109" s="428">
        <v>65370</v>
      </c>
      <c r="G109" s="435"/>
      <c r="H109" s="433">
        <f t="shared" si="8"/>
        <v>2023</v>
      </c>
      <c r="I109" s="436">
        <f t="shared" si="9"/>
        <v>45139</v>
      </c>
      <c r="J109" s="428">
        <f>VLOOKUP(I109,'AUX UF'!$B$6:$C$1048576,2,FALSE)</f>
        <v>36068.7035483871</v>
      </c>
      <c r="K109" s="432">
        <f t="shared" si="10"/>
        <v>6.1592177745444419</v>
      </c>
      <c r="L109" s="432">
        <f t="shared" si="11"/>
        <v>4.1061359414073753</v>
      </c>
      <c r="M109" s="432">
        <f t="shared" si="12"/>
        <v>1.8123745399471998</v>
      </c>
    </row>
    <row r="110" spans="2:13" x14ac:dyDescent="0.25">
      <c r="B110" s="433">
        <f t="shared" si="7"/>
        <v>2023</v>
      </c>
      <c r="C110" s="434">
        <v>45170</v>
      </c>
      <c r="D110" s="428">
        <v>225402</v>
      </c>
      <c r="E110" s="428">
        <v>150268</v>
      </c>
      <c r="F110" s="428">
        <v>67012</v>
      </c>
      <c r="G110" s="435"/>
      <c r="H110" s="433">
        <f t="shared" si="8"/>
        <v>2023</v>
      </c>
      <c r="I110" s="436">
        <f t="shared" si="9"/>
        <v>45170</v>
      </c>
      <c r="J110" s="428">
        <f>VLOOKUP(I110,'AUX UF'!$B$6:$C$1048576,2,FALSE)</f>
        <v>36175.904666666698</v>
      </c>
      <c r="K110" s="432">
        <f t="shared" si="10"/>
        <v>6.2307218596717098</v>
      </c>
      <c r="L110" s="432">
        <f t="shared" si="11"/>
        <v>4.1538145731144729</v>
      </c>
      <c r="M110" s="432">
        <f t="shared" si="12"/>
        <v>1.8523932052968499</v>
      </c>
    </row>
    <row r="111" spans="2:13" x14ac:dyDescent="0.25">
      <c r="B111" s="433">
        <f t="shared" si="7"/>
        <v>2023</v>
      </c>
      <c r="C111" s="434">
        <v>45200</v>
      </c>
      <c r="D111" s="428">
        <v>227227</v>
      </c>
      <c r="E111" s="428">
        <v>151485</v>
      </c>
      <c r="F111" s="428">
        <v>67946</v>
      </c>
      <c r="G111" s="435"/>
      <c r="H111" s="433">
        <f t="shared" si="8"/>
        <v>2023</v>
      </c>
      <c r="I111" s="436">
        <f t="shared" si="9"/>
        <v>45200</v>
      </c>
      <c r="J111" s="428">
        <f>VLOOKUP(I111,'AUX UF'!$B$6:$C$1048576,2,FALSE)</f>
        <v>36273.5867741935</v>
      </c>
      <c r="K111" s="432">
        <f t="shared" si="10"/>
        <v>6.264255073933259</v>
      </c>
      <c r="L111" s="432">
        <f t="shared" si="11"/>
        <v>4.1761792387118595</v>
      </c>
      <c r="M111" s="432">
        <f t="shared" si="12"/>
        <v>1.8731536096215204</v>
      </c>
    </row>
    <row r="112" spans="2:13" x14ac:dyDescent="0.25">
      <c r="B112" s="433">
        <f t="shared" si="7"/>
        <v>2023</v>
      </c>
      <c r="C112" s="434">
        <v>45231</v>
      </c>
      <c r="D112" s="428">
        <v>230178</v>
      </c>
      <c r="E112" s="428">
        <v>153452</v>
      </c>
      <c r="F112" s="428">
        <v>69286</v>
      </c>
      <c r="G112" s="435"/>
      <c r="H112" s="433">
        <f t="shared" si="8"/>
        <v>2023</v>
      </c>
      <c r="I112" s="436">
        <f t="shared" si="9"/>
        <v>45231</v>
      </c>
      <c r="J112" s="428">
        <f>VLOOKUP(I112,'AUX UF'!$B$6:$C$1048576,2,FALSE)</f>
        <v>36489.394999999997</v>
      </c>
      <c r="K112" s="432">
        <f t="shared" si="10"/>
        <v>6.3080793748430199</v>
      </c>
      <c r="L112" s="432">
        <f t="shared" si="11"/>
        <v>4.2053862498953469</v>
      </c>
      <c r="M112" s="432">
        <f t="shared" si="12"/>
        <v>1.8987982672773831</v>
      </c>
    </row>
    <row r="113" spans="2:13" x14ac:dyDescent="0.25">
      <c r="B113" s="433">
        <f t="shared" si="7"/>
        <v>2023</v>
      </c>
      <c r="C113" s="434">
        <v>45261</v>
      </c>
      <c r="D113" s="428">
        <v>228507</v>
      </c>
      <c r="E113" s="428">
        <v>152338</v>
      </c>
      <c r="F113" s="428">
        <v>68669</v>
      </c>
      <c r="G113" s="435"/>
      <c r="H113" s="433">
        <f t="shared" si="8"/>
        <v>2023</v>
      </c>
      <c r="I113" s="436">
        <f t="shared" si="9"/>
        <v>45261</v>
      </c>
      <c r="J113" s="428">
        <f>VLOOKUP(I113,'AUX UF'!$B$6:$C$1048576,2,FALSE)</f>
        <v>36669.376451612901</v>
      </c>
      <c r="K113" s="432">
        <f t="shared" si="10"/>
        <v>6.2315485593687843</v>
      </c>
      <c r="L113" s="432">
        <f t="shared" si="11"/>
        <v>4.1543657062458559</v>
      </c>
      <c r="M113" s="432">
        <f t="shared" si="12"/>
        <v>1.8726525140293078</v>
      </c>
    </row>
    <row r="114" spans="2:13" x14ac:dyDescent="0.25">
      <c r="B114" s="433">
        <f t="shared" si="7"/>
        <v>2024</v>
      </c>
      <c r="C114" s="434">
        <v>45292</v>
      </c>
      <c r="D114" s="428">
        <v>229787</v>
      </c>
      <c r="E114" s="428">
        <v>153191</v>
      </c>
      <c r="F114" s="428">
        <v>69003</v>
      </c>
      <c r="G114" s="435"/>
      <c r="H114" s="433">
        <f t="shared" si="8"/>
        <v>2024</v>
      </c>
      <c r="I114" s="436">
        <f t="shared" si="9"/>
        <v>45292</v>
      </c>
      <c r="J114" s="428">
        <f>VLOOKUP(I114,'AUX UF'!$B$6:$C$1048576,2,FALSE)</f>
        <v>36805.725806451599</v>
      </c>
      <c r="K114" s="432">
        <f t="shared" si="10"/>
        <v>6.2432405546998098</v>
      </c>
      <c r="L114" s="432">
        <f t="shared" si="11"/>
        <v>4.1621513132379926</v>
      </c>
      <c r="M114" s="432">
        <f t="shared" si="12"/>
        <v>1.8747898183794165</v>
      </c>
    </row>
    <row r="115" spans="2:13" x14ac:dyDescent="0.25">
      <c r="B115" s="433">
        <f t="shared" si="7"/>
        <v>2024</v>
      </c>
      <c r="C115" s="434">
        <v>45323</v>
      </c>
      <c r="D115" s="428">
        <v>229781</v>
      </c>
      <c r="E115" s="428">
        <v>153187</v>
      </c>
      <c r="F115" s="428">
        <v>68475</v>
      </c>
      <c r="G115" s="435"/>
      <c r="H115" s="433">
        <f t="shared" si="8"/>
        <v>2024</v>
      </c>
      <c r="I115" s="436">
        <f t="shared" si="9"/>
        <v>45323</v>
      </c>
      <c r="J115" s="428">
        <f>VLOOKUP(I115,'AUX UF'!$B$6:$C$1048576,2,FALSE)</f>
        <v>36750.9810344828</v>
      </c>
      <c r="K115" s="432">
        <f t="shared" si="10"/>
        <v>6.2523773116260628</v>
      </c>
      <c r="L115" s="432">
        <f t="shared" si="11"/>
        <v>4.1682424710313812</v>
      </c>
      <c r="M115" s="432">
        <f t="shared" si="12"/>
        <v>1.8632155679259585</v>
      </c>
    </row>
    <row r="116" spans="2:13" x14ac:dyDescent="0.25">
      <c r="B116" s="433">
        <f t="shared" si="7"/>
        <v>2024</v>
      </c>
      <c r="C116" s="434">
        <v>45352</v>
      </c>
      <c r="D116" s="428">
        <v>228788</v>
      </c>
      <c r="E116" s="428">
        <v>152525</v>
      </c>
      <c r="F116" s="428">
        <v>67254</v>
      </c>
      <c r="G116" s="435"/>
      <c r="H116" s="433">
        <f t="shared" si="8"/>
        <v>2024</v>
      </c>
      <c r="I116" s="436">
        <f t="shared" si="9"/>
        <v>45352</v>
      </c>
      <c r="J116" s="428">
        <f>VLOOKUP(I116,'AUX UF'!$B$6:$C$1048576,2,FALSE)</f>
        <v>36984.323548387103</v>
      </c>
      <c r="K116" s="432">
        <f t="shared" si="10"/>
        <v>6.1860804267698306</v>
      </c>
      <c r="L116" s="432">
        <f t="shared" si="11"/>
        <v>4.124044605018919</v>
      </c>
      <c r="M116" s="432">
        <f t="shared" si="12"/>
        <v>1.8184461292636773</v>
      </c>
    </row>
    <row r="117" spans="2:13" x14ac:dyDescent="0.25">
      <c r="B117" s="433">
        <f t="shared" si="7"/>
        <v>2024</v>
      </c>
      <c r="C117" s="434">
        <v>45383</v>
      </c>
      <c r="D117" s="428">
        <v>229715</v>
      </c>
      <c r="E117" s="428">
        <v>153143</v>
      </c>
      <c r="F117" s="428">
        <v>67489</v>
      </c>
      <c r="G117" s="435"/>
      <c r="H117" s="433">
        <f t="shared" si="8"/>
        <v>2024</v>
      </c>
      <c r="I117" s="436">
        <f t="shared" si="9"/>
        <v>45383</v>
      </c>
      <c r="J117" s="428">
        <f>VLOOKUP(I117,'AUX UF'!$B$6:$C$1048576,2,FALSE)</f>
        <v>37187.508666666698</v>
      </c>
      <c r="K117" s="432">
        <f t="shared" si="10"/>
        <v>6.1772086444152352</v>
      </c>
      <c r="L117" s="432">
        <f t="shared" si="11"/>
        <v>4.1181301326934783</v>
      </c>
      <c r="M117" s="432">
        <f t="shared" si="12"/>
        <v>1.8148298291489011</v>
      </c>
    </row>
    <row r="118" spans="2:13" x14ac:dyDescent="0.25">
      <c r="B118" s="433">
        <f t="shared" si="7"/>
        <v>2024</v>
      </c>
      <c r="C118" s="434">
        <v>45413</v>
      </c>
      <c r="D118" s="428">
        <v>229766</v>
      </c>
      <c r="E118" s="428">
        <v>153177</v>
      </c>
      <c r="F118" s="428">
        <v>67281</v>
      </c>
      <c r="G118" s="435"/>
      <c r="H118" s="433">
        <f t="shared" si="8"/>
        <v>2024</v>
      </c>
      <c r="I118" s="436">
        <f t="shared" si="9"/>
        <v>45413</v>
      </c>
      <c r="J118" s="428">
        <f>VLOOKUP(I118,'AUX UF'!$B$6:$C$1048576,2,FALSE)</f>
        <v>37349.9132258065</v>
      </c>
      <c r="K118" s="432">
        <f t="shared" si="10"/>
        <v>6.1517144259721004</v>
      </c>
      <c r="L118" s="432">
        <f t="shared" si="11"/>
        <v>4.1011340260400946</v>
      </c>
      <c r="M118" s="432">
        <f t="shared" si="12"/>
        <v>1.8013696469182947</v>
      </c>
    </row>
    <row r="119" spans="2:13" x14ac:dyDescent="0.25">
      <c r="B119" s="433">
        <f t="shared" si="7"/>
        <v>2024</v>
      </c>
      <c r="C119" s="434">
        <v>45444</v>
      </c>
      <c r="D119" s="428">
        <v>230746</v>
      </c>
      <c r="E119" s="428">
        <v>153831</v>
      </c>
      <c r="F119" s="428">
        <v>68367</v>
      </c>
      <c r="G119" s="435"/>
      <c r="H119" s="433">
        <f t="shared" si="8"/>
        <v>2024</v>
      </c>
      <c r="I119" s="436">
        <f t="shared" si="9"/>
        <v>45444</v>
      </c>
      <c r="J119" s="428">
        <f>VLOOKUP(I119,'AUX UF'!$B$6:$C$1048576,2,FALSE)</f>
        <v>37514.773000000001</v>
      </c>
      <c r="K119" s="432">
        <f t="shared" si="10"/>
        <v>6.1508035780997528</v>
      </c>
      <c r="L119" s="432">
        <f t="shared" si="11"/>
        <v>4.100544604121688</v>
      </c>
      <c r="M119" s="432">
        <f t="shared" si="12"/>
        <v>1.8224020707788902</v>
      </c>
    </row>
    <row r="120" spans="2:13" x14ac:dyDescent="0.25">
      <c r="B120" s="433">
        <f t="shared" si="7"/>
        <v>2024</v>
      </c>
      <c r="C120" s="434">
        <v>45474</v>
      </c>
      <c r="D120" s="428">
        <v>232255</v>
      </c>
      <c r="E120" s="428">
        <v>154837</v>
      </c>
      <c r="F120" s="428">
        <v>68567</v>
      </c>
      <c r="G120" s="435"/>
      <c r="H120" s="433">
        <f t="shared" si="8"/>
        <v>2024</v>
      </c>
      <c r="I120" s="436">
        <f t="shared" si="9"/>
        <v>45474</v>
      </c>
      <c r="J120" s="428">
        <f>VLOOKUP(I120,'AUX UF'!$B$6:$C$1048576,2,FALSE)</f>
        <v>37591.378064516102</v>
      </c>
      <c r="K120" s="432">
        <f t="shared" si="10"/>
        <v>6.1784114325735269</v>
      </c>
      <c r="L120" s="432">
        <f t="shared" si="11"/>
        <v>4.1189498223305732</v>
      </c>
      <c r="M120" s="432">
        <f t="shared" si="12"/>
        <v>1.8240086831166995</v>
      </c>
    </row>
    <row r="121" spans="2:13" x14ac:dyDescent="0.25">
      <c r="B121" s="433">
        <f t="shared" si="7"/>
        <v>2024</v>
      </c>
      <c r="C121" s="434">
        <v>45505</v>
      </c>
      <c r="D121" s="428">
        <v>232701</v>
      </c>
      <c r="E121" s="428">
        <v>155134</v>
      </c>
      <c r="F121" s="428">
        <v>68731</v>
      </c>
      <c r="G121" s="435"/>
      <c r="H121" s="433">
        <f t="shared" si="8"/>
        <v>2024</v>
      </c>
      <c r="I121" s="436">
        <f t="shared" si="9"/>
        <v>45505</v>
      </c>
      <c r="J121" s="428">
        <f>VLOOKUP(I121,'AUX UF'!$B$6:$C$1048576,2,FALSE)</f>
        <v>37638.547741935501</v>
      </c>
      <c r="K121" s="432">
        <f t="shared" si="10"/>
        <v>6.1825180290028303</v>
      </c>
      <c r="L121" s="432">
        <f t="shared" si="11"/>
        <v>4.1216786860018866</v>
      </c>
      <c r="M121" s="432">
        <f t="shared" si="12"/>
        <v>1.8260800196449243</v>
      </c>
    </row>
    <row r="122" spans="2:13" x14ac:dyDescent="0.25">
      <c r="B122" s="433">
        <f t="shared" si="7"/>
        <v>2024</v>
      </c>
      <c r="C122" s="434">
        <v>45536</v>
      </c>
      <c r="D122" s="428">
        <v>232976</v>
      </c>
      <c r="E122" s="428">
        <v>155317</v>
      </c>
      <c r="F122" s="428">
        <v>68715</v>
      </c>
      <c r="G122" s="435"/>
      <c r="H122" s="433">
        <f t="shared" si="8"/>
        <v>2024</v>
      </c>
      <c r="I122" s="436">
        <f>C122</f>
        <v>45536</v>
      </c>
      <c r="J122" s="428">
        <f>VLOOKUP(I122,'AUX UF'!$B$6:$C$1048576,2,FALSE)</f>
        <v>37849.906666666699</v>
      </c>
      <c r="K122" s="432">
        <f t="shared" si="10"/>
        <v>6.1552595638280696</v>
      </c>
      <c r="L122" s="432">
        <f t="shared" si="11"/>
        <v>4.1034975691705764</v>
      </c>
      <c r="M122" s="432">
        <f t="shared" si="12"/>
        <v>1.8154602230635164</v>
      </c>
    </row>
    <row r="123" spans="2:13" x14ac:dyDescent="0.25">
      <c r="B123" s="433">
        <f t="shared" si="7"/>
        <v>2024</v>
      </c>
      <c r="C123" s="434">
        <v>45566</v>
      </c>
      <c r="D123" s="428">
        <v>236339</v>
      </c>
      <c r="E123" s="428">
        <v>157559</v>
      </c>
      <c r="F123" s="428">
        <v>70364</v>
      </c>
      <c r="G123" s="435"/>
      <c r="H123" s="433">
        <f t="shared" si="8"/>
        <v>2024</v>
      </c>
      <c r="I123" s="436">
        <f t="shared" si="9"/>
        <v>45566</v>
      </c>
      <c r="J123" s="428">
        <f>VLOOKUP(I123,'AUX UF'!$B$6:$C$1048576,2,FALSE)</f>
        <v>37950.088709677402</v>
      </c>
      <c r="K123" s="432">
        <f t="shared" si="10"/>
        <v>6.2276270763955486</v>
      </c>
      <c r="L123" s="432">
        <f t="shared" si="11"/>
        <v>4.1517426007971867</v>
      </c>
      <c r="M123" s="432">
        <f t="shared" si="12"/>
        <v>1.854119513087118</v>
      </c>
    </row>
    <row r="124" spans="2:13" x14ac:dyDescent="0.25">
      <c r="B124" s="433">
        <f t="shared" si="7"/>
        <v>2024</v>
      </c>
      <c r="C124" s="434">
        <v>45597</v>
      </c>
      <c r="D124" s="428">
        <v>236705</v>
      </c>
      <c r="E124" s="428">
        <v>157804</v>
      </c>
      <c r="F124" s="428">
        <v>70286</v>
      </c>
      <c r="G124" s="435"/>
      <c r="H124" s="433">
        <f t="shared" si="8"/>
        <v>2024</v>
      </c>
      <c r="I124" s="436">
        <f t="shared" si="9"/>
        <v>45597</v>
      </c>
      <c r="J124" s="428">
        <f>VLOOKUP(I124,'AUX UF'!$B$6:$C$1048576,2,FALSE)</f>
        <v>38078.207333333303</v>
      </c>
      <c r="K124" s="432">
        <f t="shared" si="10"/>
        <v>6.2162852869596801</v>
      </c>
      <c r="L124" s="432">
        <f t="shared" si="11"/>
        <v>4.1442076991334584</v>
      </c>
      <c r="M124" s="432">
        <f t="shared" si="12"/>
        <v>1.8458326933493086</v>
      </c>
    </row>
    <row r="125" spans="2:13" x14ac:dyDescent="0.25">
      <c r="B125" s="433">
        <f t="shared" si="7"/>
        <v>2024</v>
      </c>
      <c r="C125" s="434">
        <v>45627</v>
      </c>
      <c r="D125" s="428">
        <v>234245</v>
      </c>
      <c r="E125" s="428">
        <v>156163</v>
      </c>
      <c r="F125" s="428">
        <v>68761</v>
      </c>
      <c r="G125" s="435"/>
      <c r="H125" s="433">
        <f t="shared" si="8"/>
        <v>2024</v>
      </c>
      <c r="I125" s="436">
        <f t="shared" si="9"/>
        <v>45627</v>
      </c>
      <c r="J125" s="428">
        <f>VLOOKUP(I125,'AUX UF'!$B$6:$C$1048576,2,FALSE)</f>
        <v>38367.6880645161</v>
      </c>
      <c r="K125" s="432">
        <f>D125/$J125</f>
        <v>6.1052675263130771</v>
      </c>
      <c r="L125" s="432">
        <f>E125/$J125</f>
        <v>4.0701696630093664</v>
      </c>
      <c r="M125" s="432">
        <f>F125/$J125</f>
        <v>1.7921590658362549</v>
      </c>
    </row>
    <row r="126" spans="2:13" x14ac:dyDescent="0.25">
      <c r="B126" s="433">
        <f t="shared" si="7"/>
        <v>2025</v>
      </c>
      <c r="C126" s="434">
        <v>45658</v>
      </c>
      <c r="D126" s="428">
        <v>236523</v>
      </c>
      <c r="E126" s="428">
        <v>157682</v>
      </c>
      <c r="F126" s="428">
        <v>69159</v>
      </c>
      <c r="H126" s="433">
        <f t="shared" si="8"/>
        <v>2025</v>
      </c>
      <c r="I126" s="436">
        <f t="shared" si="9"/>
        <v>45658</v>
      </c>
      <c r="J126" s="428">
        <f>VLOOKUP(I126,'AUX UF'!$B$6:$C$1048576,2,FALSE)</f>
        <v>38415.854193548403</v>
      </c>
      <c r="K126" s="432">
        <f t="shared" ref="K126:K137" si="13">D126/$J126</f>
        <v>6.1569111234215876</v>
      </c>
      <c r="L126" s="432">
        <f t="shared" ref="L126:L137" si="14">E126/$J126</f>
        <v>4.1046074156143915</v>
      </c>
      <c r="M126" s="432">
        <f t="shared" ref="M126:M137" si="15">F126/$J126</f>
        <v>1.8002723472335189</v>
      </c>
    </row>
    <row r="127" spans="2:13" x14ac:dyDescent="0.25">
      <c r="B127" s="433">
        <f t="shared" si="7"/>
        <v>2025</v>
      </c>
      <c r="C127" s="434">
        <v>45689</v>
      </c>
      <c r="D127" s="428">
        <v>237118</v>
      </c>
      <c r="E127" s="428">
        <v>158079</v>
      </c>
      <c r="F127" s="428">
        <v>69169</v>
      </c>
      <c r="H127" s="433">
        <f t="shared" si="8"/>
        <v>2025</v>
      </c>
      <c r="I127" s="436">
        <f t="shared" si="9"/>
        <v>45689</v>
      </c>
      <c r="J127" s="428">
        <f>VLOOKUP(I127,'AUX UF'!$B$6:$C$1048576,2,FALSE)</f>
        <v>38467.253214285702</v>
      </c>
      <c r="K127" s="432">
        <f t="shared" si="13"/>
        <v>6.1641521082649273</v>
      </c>
      <c r="L127" s="432">
        <f t="shared" si="14"/>
        <v>4.1094434042224188</v>
      </c>
      <c r="M127" s="432">
        <f t="shared" si="15"/>
        <v>1.7981268278940306</v>
      </c>
    </row>
    <row r="128" spans="2:13" x14ac:dyDescent="0.25">
      <c r="B128" s="433">
        <f t="shared" si="7"/>
        <v>2025</v>
      </c>
      <c r="C128" s="434">
        <v>45717</v>
      </c>
      <c r="D128" s="428">
        <v>238897</v>
      </c>
      <c r="E128" s="428">
        <v>159265</v>
      </c>
      <c r="F128" s="428">
        <v>70065</v>
      </c>
      <c r="H128" s="433">
        <f t="shared" si="8"/>
        <v>2025</v>
      </c>
      <c r="I128" s="436">
        <f t="shared" si="9"/>
        <v>45717</v>
      </c>
      <c r="J128" s="428">
        <f>VLOOKUP(I128,'AUX UF'!$B$6:$C$1048576,2,FALSE)</f>
        <v>38807.3032258065</v>
      </c>
      <c r="K128" s="432">
        <f t="shared" si="13"/>
        <v>6.1559804506368199</v>
      </c>
      <c r="L128" s="432">
        <f t="shared" si="14"/>
        <v>4.1039955565397355</v>
      </c>
      <c r="M128" s="432">
        <f t="shared" si="15"/>
        <v>1.8054591320689199</v>
      </c>
    </row>
    <row r="129" spans="2:13" x14ac:dyDescent="0.25">
      <c r="B129" s="433">
        <f t="shared" si="7"/>
        <v>2025</v>
      </c>
      <c r="C129" s="434">
        <v>45748</v>
      </c>
      <c r="D129" s="428">
        <v>238786</v>
      </c>
      <c r="E129" s="428">
        <v>159191</v>
      </c>
      <c r="F129" s="428">
        <v>69805</v>
      </c>
      <c r="H129" s="433">
        <f t="shared" si="8"/>
        <v>2025</v>
      </c>
      <c r="I129" s="436">
        <f t="shared" si="9"/>
        <v>45748</v>
      </c>
      <c r="J129" s="428">
        <f>VLOOKUP(I129,'AUX UF'!$B$6:$C$1048576,2,FALSE)</f>
        <v>38983.110666666696</v>
      </c>
      <c r="K129" s="432">
        <f t="shared" si="13"/>
        <v>6.1253706006631949</v>
      </c>
      <c r="L129" s="432">
        <f t="shared" si="14"/>
        <v>4.0835889511536472</v>
      </c>
      <c r="M129" s="432">
        <f t="shared" si="15"/>
        <v>1.7906472522647658</v>
      </c>
    </row>
    <row r="130" spans="2:13" x14ac:dyDescent="0.25">
      <c r="B130" s="433">
        <f t="shared" si="7"/>
        <v>2025</v>
      </c>
      <c r="C130" s="434">
        <v>45778</v>
      </c>
      <c r="D130" s="428">
        <v>238705</v>
      </c>
      <c r="E130" s="428">
        <v>159137</v>
      </c>
      <c r="F130" s="428">
        <v>69620</v>
      </c>
      <c r="H130" s="433">
        <f t="shared" si="8"/>
        <v>2025</v>
      </c>
      <c r="I130" s="436">
        <f t="shared" si="9"/>
        <v>45778</v>
      </c>
      <c r="J130" s="428">
        <f>VLOOKUP(I130,'AUX UF'!$B$6:$C$1048576,2,FALSE)</f>
        <v>39146.9616129032</v>
      </c>
      <c r="K130" s="432">
        <f t="shared" si="13"/>
        <v>6.097663526492453</v>
      </c>
      <c r="L130" s="432">
        <f t="shared" si="14"/>
        <v>4.065117532583856</v>
      </c>
      <c r="M130" s="432">
        <f t="shared" si="15"/>
        <v>1.7784266551366941</v>
      </c>
    </row>
    <row r="131" spans="2:13" x14ac:dyDescent="0.25">
      <c r="B131" s="433">
        <f t="shared" si="7"/>
        <v>2025</v>
      </c>
      <c r="C131" s="434">
        <v>45809</v>
      </c>
      <c r="D131" s="428">
        <v>237434</v>
      </c>
      <c r="E131" s="428">
        <v>158290</v>
      </c>
      <c r="F131" s="428">
        <v>69100</v>
      </c>
      <c r="H131" s="433">
        <f t="shared" si="8"/>
        <v>2025</v>
      </c>
      <c r="I131" s="436">
        <f t="shared" si="9"/>
        <v>45809</v>
      </c>
      <c r="J131" s="428">
        <f>VLOOKUP(I131,'AUX UF'!$B$6:$C$1048576,2,FALSE)</f>
        <v>39229.275666666697</v>
      </c>
      <c r="K131" s="432">
        <f t="shared" si="13"/>
        <v>6.0524696407216307</v>
      </c>
      <c r="L131" s="432">
        <f t="shared" si="14"/>
        <v>4.0349967545921261</v>
      </c>
      <c r="M131" s="432">
        <f t="shared" si="15"/>
        <v>1.7614396092129379</v>
      </c>
    </row>
    <row r="132" spans="2:13" x14ac:dyDescent="0.25">
      <c r="B132" s="433">
        <f t="shared" si="7"/>
        <v>2025</v>
      </c>
      <c r="C132" s="434">
        <v>45839</v>
      </c>
      <c r="D132" s="428">
        <v>239046</v>
      </c>
      <c r="E132" s="428">
        <v>159364</v>
      </c>
      <c r="F132" s="428">
        <v>69364</v>
      </c>
      <c r="H132" s="433">
        <f t="shared" si="8"/>
        <v>2025</v>
      </c>
      <c r="I132" s="436">
        <f t="shared" si="9"/>
        <v>45839</v>
      </c>
      <c r="J132" s="428">
        <f>VLOOKUP(I132,'AUX UF'!$B$6:$C$1048576,2,FALSE)</f>
        <v>39246.154838709699</v>
      </c>
      <c r="K132" s="432">
        <f t="shared" si="13"/>
        <v>6.0909406534833703</v>
      </c>
      <c r="L132" s="432">
        <f t="shared" si="14"/>
        <v>4.0606271023222469</v>
      </c>
      <c r="M132" s="432">
        <f t="shared" si="15"/>
        <v>1.7674088145721765</v>
      </c>
    </row>
    <row r="133" spans="2:13" x14ac:dyDescent="0.25">
      <c r="B133" s="433">
        <f t="shared" si="7"/>
        <v>2025</v>
      </c>
      <c r="C133" s="434">
        <v>45870</v>
      </c>
      <c r="D133" s="428">
        <v>238922</v>
      </c>
      <c r="E133" s="428">
        <v>159281</v>
      </c>
      <c r="F133" s="428">
        <v>69505</v>
      </c>
      <c r="H133" s="433">
        <f t="shared" si="8"/>
        <v>2025</v>
      </c>
      <c r="I133" s="436">
        <f t="shared" si="9"/>
        <v>45870</v>
      </c>
      <c r="J133" s="428">
        <f>VLOOKUP(I133,'AUX UF'!$B$6:$C$1048576,2,FALSE)</f>
        <v>39231.836129032301</v>
      </c>
      <c r="K133" s="432">
        <f t="shared" si="13"/>
        <v>6.0900030071035394</v>
      </c>
      <c r="L133" s="432">
        <f t="shared" si="14"/>
        <v>4.0599935082347329</v>
      </c>
      <c r="M133" s="432">
        <f t="shared" si="15"/>
        <v>1.7716478976767795</v>
      </c>
    </row>
    <row r="134" spans="2:13" x14ac:dyDescent="0.25">
      <c r="B134" s="433">
        <f t="shared" ref="B134:B137" si="16">YEAR(C134)</f>
        <v>2025</v>
      </c>
      <c r="C134" s="434">
        <v>45901</v>
      </c>
      <c r="D134" s="428">
        <v>240890</v>
      </c>
      <c r="E134" s="428">
        <v>160593</v>
      </c>
      <c r="F134" s="428">
        <v>70522</v>
      </c>
      <c r="H134" s="433">
        <f t="shared" ref="H134:H137" si="17">B134</f>
        <v>2025</v>
      </c>
      <c r="I134" s="436">
        <f t="shared" ref="I134:I137" si="18">C134</f>
        <v>45901</v>
      </c>
      <c r="J134" s="428">
        <f>VLOOKUP(I134,'AUX UF'!$B$6:$C$1048576,2,FALSE)</f>
        <v>39471.966999999997</v>
      </c>
      <c r="K134" s="432">
        <f t="shared" si="13"/>
        <v>6.1028121552695875</v>
      </c>
      <c r="L134" s="432">
        <f t="shared" si="14"/>
        <v>4.0685329920345747</v>
      </c>
      <c r="M134" s="432">
        <f t="shared" si="15"/>
        <v>1.786635056722661</v>
      </c>
    </row>
    <row r="135" spans="2:13" x14ac:dyDescent="0.25">
      <c r="B135" s="433">
        <f t="shared" si="16"/>
        <v>2025</v>
      </c>
      <c r="C135" s="434">
        <v>45931</v>
      </c>
      <c r="D135" s="428">
        <v>241166</v>
      </c>
      <c r="E135" s="428">
        <v>160777</v>
      </c>
      <c r="F135" s="428">
        <v>70704</v>
      </c>
      <c r="H135" s="433">
        <f t="shared" si="17"/>
        <v>2025</v>
      </c>
      <c r="I135" s="436">
        <f>C135</f>
        <v>45931</v>
      </c>
      <c r="J135" s="428">
        <f>VLOOKUP(I135,'AUX UF'!$B$6:$C$1048576,2,FALSE)</f>
        <v>39527.188387096801</v>
      </c>
      <c r="K135" s="432">
        <f t="shared" si="13"/>
        <v>6.1012687681759292</v>
      </c>
      <c r="L135" s="432">
        <f t="shared" si="14"/>
        <v>4.067504079103279</v>
      </c>
      <c r="M135" s="432">
        <f t="shared" si="15"/>
        <v>1.7887434670936655</v>
      </c>
    </row>
    <row r="136" spans="2:13" x14ac:dyDescent="0.25">
      <c r="B136" s="433">
        <f t="shared" si="16"/>
        <v>2025</v>
      </c>
      <c r="C136" s="434">
        <v>45962</v>
      </c>
      <c r="D136" s="428">
        <v>241802</v>
      </c>
      <c r="E136" s="428">
        <v>161201</v>
      </c>
      <c r="F136" s="428">
        <v>71017</v>
      </c>
      <c r="H136" s="433">
        <f t="shared" si="17"/>
        <v>2025</v>
      </c>
      <c r="I136" s="436">
        <f t="shared" si="18"/>
        <v>45962</v>
      </c>
      <c r="J136" s="428">
        <f>VLOOKUP(I136,'AUX UF'!$B$6:$C$1048576,2,FALSE)</f>
        <v>39637.466666666704</v>
      </c>
      <c r="K136" s="432">
        <f t="shared" si="13"/>
        <v>6.1003394095148975</v>
      </c>
      <c r="L136" s="432">
        <f t="shared" si="14"/>
        <v>4.0668845301246934</v>
      </c>
      <c r="M136" s="432">
        <f t="shared" si="15"/>
        <v>1.7916634430051013</v>
      </c>
    </row>
    <row r="137" spans="2:13" x14ac:dyDescent="0.25">
      <c r="B137" s="433">
        <f t="shared" si="16"/>
        <v>2025</v>
      </c>
      <c r="C137" s="434">
        <v>45992</v>
      </c>
      <c r="D137" s="428">
        <v>241258</v>
      </c>
      <c r="E137" s="428">
        <v>160838</v>
      </c>
      <c r="F137" s="428">
        <v>70857</v>
      </c>
      <c r="H137" s="433">
        <f t="shared" si="17"/>
        <v>2025</v>
      </c>
      <c r="I137" s="436">
        <f t="shared" si="18"/>
        <v>45992</v>
      </c>
      <c r="J137" s="428">
        <f>VLOOKUP(I137,'AUX UF'!$B$6:$C$1048576,2,FALSE)</f>
        <v>39674.876774193603</v>
      </c>
      <c r="K137" s="432">
        <f t="shared" si="13"/>
        <v>6.0808758492962856</v>
      </c>
      <c r="L137" s="432">
        <f t="shared" si="14"/>
        <v>4.0539004296193948</v>
      </c>
      <c r="M137" s="432">
        <f t="shared" si="15"/>
        <v>1.7859412747083492</v>
      </c>
    </row>
    <row r="138" spans="2:13" x14ac:dyDescent="0.25">
      <c r="I138" s="431"/>
    </row>
    <row r="139" spans="2:13" x14ac:dyDescent="0.25">
      <c r="I139" s="431"/>
    </row>
    <row r="140" spans="2:13" x14ac:dyDescent="0.25">
      <c r="I140" s="431"/>
    </row>
    <row r="141" spans="2:13" x14ac:dyDescent="0.25">
      <c r="I141" s="431"/>
    </row>
    <row r="142" spans="2:13" x14ac:dyDescent="0.25">
      <c r="I142" s="431"/>
    </row>
    <row r="143" spans="2:13" x14ac:dyDescent="0.25">
      <c r="I143" s="431"/>
    </row>
    <row r="144" spans="2:13" x14ac:dyDescent="0.25">
      <c r="I144" s="431"/>
    </row>
    <row r="145" spans="9:9" x14ac:dyDescent="0.25">
      <c r="I145" s="431"/>
    </row>
    <row r="146" spans="9:9" x14ac:dyDescent="0.25">
      <c r="I146" s="431"/>
    </row>
    <row r="147" spans="9:9" x14ac:dyDescent="0.25">
      <c r="I147" s="431"/>
    </row>
    <row r="148" spans="9:9" x14ac:dyDescent="0.25">
      <c r="I148" s="431"/>
    </row>
    <row r="149" spans="9:9" x14ac:dyDescent="0.25">
      <c r="I149" s="431"/>
    </row>
    <row r="150" spans="9:9" x14ac:dyDescent="0.25">
      <c r="I150" s="431"/>
    </row>
    <row r="151" spans="9:9" x14ac:dyDescent="0.25">
      <c r="I151" s="431"/>
    </row>
    <row r="152" spans="9:9" x14ac:dyDescent="0.25">
      <c r="I152" s="431"/>
    </row>
    <row r="153" spans="9:9" x14ac:dyDescent="0.25">
      <c r="I153" s="431"/>
    </row>
    <row r="154" spans="9:9" x14ac:dyDescent="0.25">
      <c r="I154" s="431"/>
    </row>
    <row r="155" spans="9:9" x14ac:dyDescent="0.25">
      <c r="I155" s="431"/>
    </row>
    <row r="156" spans="9:9" x14ac:dyDescent="0.25">
      <c r="I156" s="431"/>
    </row>
    <row r="157" spans="9:9" x14ac:dyDescent="0.25">
      <c r="I157" s="431"/>
    </row>
    <row r="158" spans="9:9" x14ac:dyDescent="0.25">
      <c r="I158" s="431"/>
    </row>
    <row r="159" spans="9:9" x14ac:dyDescent="0.25">
      <c r="I159" s="431"/>
    </row>
    <row r="160" spans="9:9" x14ac:dyDescent="0.25">
      <c r="I160" s="431"/>
    </row>
    <row r="161" spans="9:9" x14ac:dyDescent="0.25">
      <c r="I161" s="431"/>
    </row>
    <row r="162" spans="9:9" x14ac:dyDescent="0.25">
      <c r="I162" s="431"/>
    </row>
    <row r="163" spans="9:9" x14ac:dyDescent="0.25">
      <c r="I163" s="431"/>
    </row>
    <row r="164" spans="9:9" x14ac:dyDescent="0.25">
      <c r="I164" s="431"/>
    </row>
    <row r="165" spans="9:9" x14ac:dyDescent="0.25">
      <c r="I165" s="431"/>
    </row>
    <row r="166" spans="9:9" x14ac:dyDescent="0.25">
      <c r="I166" s="431"/>
    </row>
    <row r="167" spans="9:9" x14ac:dyDescent="0.25">
      <c r="I167" s="431"/>
    </row>
    <row r="168" spans="9:9" x14ac:dyDescent="0.25">
      <c r="I168" s="431"/>
    </row>
    <row r="169" spans="9:9" x14ac:dyDescent="0.25">
      <c r="I169" s="431"/>
    </row>
    <row r="170" spans="9:9" x14ac:dyDescent="0.25">
      <c r="I170" s="431"/>
    </row>
    <row r="171" spans="9:9" x14ac:dyDescent="0.25">
      <c r="I171" s="431"/>
    </row>
    <row r="172" spans="9:9" x14ac:dyDescent="0.25">
      <c r="I172" s="431"/>
    </row>
    <row r="173" spans="9:9" x14ac:dyDescent="0.25">
      <c r="I173" s="431"/>
    </row>
    <row r="174" spans="9:9" x14ac:dyDescent="0.25">
      <c r="I174" s="431"/>
    </row>
    <row r="175" spans="9:9" x14ac:dyDescent="0.25">
      <c r="I175" s="431"/>
    </row>
    <row r="176" spans="9:9" x14ac:dyDescent="0.25">
      <c r="I176" s="431"/>
    </row>
    <row r="177" spans="9:9" x14ac:dyDescent="0.25">
      <c r="I177" s="431"/>
    </row>
    <row r="178" spans="9:9" x14ac:dyDescent="0.25">
      <c r="I178" s="431"/>
    </row>
    <row r="179" spans="9:9" x14ac:dyDescent="0.25">
      <c r="I179" s="431"/>
    </row>
    <row r="180" spans="9:9" x14ac:dyDescent="0.25">
      <c r="I180" s="431"/>
    </row>
    <row r="181" spans="9:9" x14ac:dyDescent="0.25">
      <c r="I181" s="431"/>
    </row>
    <row r="182" spans="9:9" x14ac:dyDescent="0.25">
      <c r="I182" s="431"/>
    </row>
    <row r="183" spans="9:9" x14ac:dyDescent="0.25">
      <c r="I183" s="431"/>
    </row>
    <row r="184" spans="9:9" x14ac:dyDescent="0.25">
      <c r="I184" s="431"/>
    </row>
    <row r="185" spans="9:9" x14ac:dyDescent="0.25">
      <c r="I185" s="431"/>
    </row>
    <row r="186" spans="9:9" x14ac:dyDescent="0.25">
      <c r="I186" s="431"/>
    </row>
    <row r="187" spans="9:9" x14ac:dyDescent="0.25">
      <c r="I187" s="431"/>
    </row>
    <row r="188" spans="9:9" x14ac:dyDescent="0.25">
      <c r="I188" s="431"/>
    </row>
    <row r="189" spans="9:9" x14ac:dyDescent="0.25">
      <c r="I189" s="431"/>
    </row>
    <row r="190" spans="9:9" x14ac:dyDescent="0.25">
      <c r="I190" s="431"/>
    </row>
    <row r="191" spans="9:9" x14ac:dyDescent="0.25">
      <c r="I191" s="431"/>
    </row>
    <row r="192" spans="9:9" x14ac:dyDescent="0.25">
      <c r="I192" s="431"/>
    </row>
    <row r="193" spans="9:9" x14ac:dyDescent="0.25">
      <c r="I193" s="431"/>
    </row>
    <row r="194" spans="9:9" x14ac:dyDescent="0.25">
      <c r="I194" s="431"/>
    </row>
    <row r="195" spans="9:9" x14ac:dyDescent="0.25">
      <c r="I195" s="431"/>
    </row>
    <row r="196" spans="9:9" x14ac:dyDescent="0.25">
      <c r="I196" s="431"/>
    </row>
    <row r="197" spans="9:9" x14ac:dyDescent="0.25">
      <c r="I197" s="431"/>
    </row>
    <row r="198" spans="9:9" x14ac:dyDescent="0.25">
      <c r="I198" s="431"/>
    </row>
    <row r="199" spans="9:9" x14ac:dyDescent="0.25">
      <c r="I199" s="431"/>
    </row>
    <row r="200" spans="9:9" x14ac:dyDescent="0.25">
      <c r="I200" s="431"/>
    </row>
    <row r="201" spans="9:9" x14ac:dyDescent="0.25">
      <c r="I201" s="431"/>
    </row>
    <row r="202" spans="9:9" x14ac:dyDescent="0.25">
      <c r="I202" s="431"/>
    </row>
    <row r="203" spans="9:9" x14ac:dyDescent="0.25">
      <c r="I203" s="431"/>
    </row>
    <row r="204" spans="9:9" x14ac:dyDescent="0.25">
      <c r="I204" s="431"/>
    </row>
    <row r="205" spans="9:9" x14ac:dyDescent="0.25">
      <c r="I205" s="431"/>
    </row>
    <row r="206" spans="9:9" x14ac:dyDescent="0.25">
      <c r="I206" s="431"/>
    </row>
    <row r="207" spans="9:9" x14ac:dyDescent="0.25">
      <c r="I207" s="431"/>
    </row>
    <row r="208" spans="9:9" x14ac:dyDescent="0.25">
      <c r="I208" s="431"/>
    </row>
    <row r="209" spans="9:9" x14ac:dyDescent="0.25">
      <c r="I209" s="431"/>
    </row>
    <row r="210" spans="9:9" x14ac:dyDescent="0.25">
      <c r="I210" s="431"/>
    </row>
    <row r="211" spans="9:9" x14ac:dyDescent="0.25">
      <c r="I211" s="431"/>
    </row>
    <row r="212" spans="9:9" x14ac:dyDescent="0.25">
      <c r="I212" s="431"/>
    </row>
    <row r="213" spans="9:9" x14ac:dyDescent="0.25">
      <c r="I213" s="431"/>
    </row>
    <row r="214" spans="9:9" x14ac:dyDescent="0.25">
      <c r="I214" s="431"/>
    </row>
    <row r="215" spans="9:9" x14ac:dyDescent="0.25">
      <c r="I215" s="431"/>
    </row>
    <row r="216" spans="9:9" x14ac:dyDescent="0.25">
      <c r="I216" s="431"/>
    </row>
    <row r="217" spans="9:9" x14ac:dyDescent="0.25">
      <c r="I217" s="431"/>
    </row>
    <row r="218" spans="9:9" x14ac:dyDescent="0.25">
      <c r="I218" s="431"/>
    </row>
    <row r="219" spans="9:9" x14ac:dyDescent="0.25">
      <c r="I219" s="431"/>
    </row>
    <row r="220" spans="9:9" x14ac:dyDescent="0.25">
      <c r="I220" s="431"/>
    </row>
    <row r="221" spans="9:9" x14ac:dyDescent="0.25">
      <c r="I221" s="431"/>
    </row>
    <row r="222" spans="9:9" x14ac:dyDescent="0.25">
      <c r="I222" s="431"/>
    </row>
    <row r="223" spans="9:9" x14ac:dyDescent="0.25">
      <c r="I223" s="431"/>
    </row>
    <row r="224" spans="9:9" x14ac:dyDescent="0.25">
      <c r="I224" s="431"/>
    </row>
    <row r="225" spans="9:9" x14ac:dyDescent="0.25">
      <c r="I225" s="431"/>
    </row>
    <row r="226" spans="9:9" x14ac:dyDescent="0.25">
      <c r="I226" s="431"/>
    </row>
    <row r="227" spans="9:9" x14ac:dyDescent="0.25">
      <c r="I227" s="431"/>
    </row>
    <row r="228" spans="9:9" x14ac:dyDescent="0.25">
      <c r="I228" s="431"/>
    </row>
    <row r="229" spans="9:9" x14ac:dyDescent="0.25">
      <c r="I229" s="431"/>
    </row>
    <row r="230" spans="9:9" x14ac:dyDescent="0.25">
      <c r="I230" s="431"/>
    </row>
    <row r="231" spans="9:9" x14ac:dyDescent="0.25">
      <c r="I231" s="431"/>
    </row>
    <row r="232" spans="9:9" x14ac:dyDescent="0.25">
      <c r="I232" s="431"/>
    </row>
    <row r="233" spans="9:9" x14ac:dyDescent="0.25">
      <c r="I233" s="431"/>
    </row>
    <row r="234" spans="9:9" x14ac:dyDescent="0.25">
      <c r="I234" s="431"/>
    </row>
    <row r="235" spans="9:9" x14ac:dyDescent="0.25">
      <c r="I235" s="431"/>
    </row>
    <row r="236" spans="9:9" x14ac:dyDescent="0.25">
      <c r="I236" s="431"/>
    </row>
    <row r="237" spans="9:9" x14ac:dyDescent="0.25">
      <c r="I237" s="431"/>
    </row>
    <row r="238" spans="9:9" x14ac:dyDescent="0.25">
      <c r="I238" s="431"/>
    </row>
    <row r="239" spans="9:9" x14ac:dyDescent="0.25">
      <c r="I239" s="431"/>
    </row>
    <row r="240" spans="9:9" x14ac:dyDescent="0.25">
      <c r="I240" s="431"/>
    </row>
    <row r="241" spans="9:9" x14ac:dyDescent="0.25">
      <c r="I241" s="431"/>
    </row>
    <row r="242" spans="9:9" x14ac:dyDescent="0.25">
      <c r="I242" s="431"/>
    </row>
    <row r="243" spans="9:9" x14ac:dyDescent="0.25">
      <c r="I243" s="431"/>
    </row>
    <row r="244" spans="9:9" x14ac:dyDescent="0.25">
      <c r="I244" s="431"/>
    </row>
    <row r="245" spans="9:9" x14ac:dyDescent="0.25">
      <c r="I245" s="431"/>
    </row>
    <row r="246" spans="9:9" x14ac:dyDescent="0.25">
      <c r="I246" s="431"/>
    </row>
    <row r="247" spans="9:9" x14ac:dyDescent="0.25">
      <c r="I247" s="431"/>
    </row>
    <row r="248" spans="9:9" x14ac:dyDescent="0.25">
      <c r="I248" s="431"/>
    </row>
    <row r="249" spans="9:9" x14ac:dyDescent="0.25">
      <c r="I249" s="431"/>
    </row>
    <row r="250" spans="9:9" x14ac:dyDescent="0.25">
      <c r="I250" s="431"/>
    </row>
    <row r="251" spans="9:9" x14ac:dyDescent="0.25">
      <c r="I251" s="431"/>
    </row>
    <row r="252" spans="9:9" x14ac:dyDescent="0.25">
      <c r="I252" s="431"/>
    </row>
    <row r="253" spans="9:9" x14ac:dyDescent="0.25">
      <c r="I253" s="431"/>
    </row>
    <row r="254" spans="9:9" x14ac:dyDescent="0.25">
      <c r="I254" s="431"/>
    </row>
    <row r="255" spans="9:9" x14ac:dyDescent="0.25">
      <c r="I255" s="431"/>
    </row>
    <row r="256" spans="9:9" x14ac:dyDescent="0.25">
      <c r="I256" s="431"/>
    </row>
    <row r="257" spans="9:9" x14ac:dyDescent="0.25">
      <c r="I257" s="431"/>
    </row>
    <row r="258" spans="9:9" x14ac:dyDescent="0.25">
      <c r="I258" s="431"/>
    </row>
    <row r="259" spans="9:9" x14ac:dyDescent="0.25">
      <c r="I259" s="431"/>
    </row>
    <row r="260" spans="9:9" x14ac:dyDescent="0.25">
      <c r="I260" s="431"/>
    </row>
    <row r="261" spans="9:9" x14ac:dyDescent="0.25">
      <c r="I261" s="431"/>
    </row>
    <row r="262" spans="9:9" x14ac:dyDescent="0.25">
      <c r="I262" s="431"/>
    </row>
    <row r="263" spans="9:9" x14ac:dyDescent="0.25">
      <c r="I263" s="431"/>
    </row>
    <row r="264" spans="9:9" x14ac:dyDescent="0.25">
      <c r="I264" s="431"/>
    </row>
    <row r="265" spans="9:9" x14ac:dyDescent="0.25">
      <c r="I265" s="431"/>
    </row>
    <row r="266" spans="9:9" x14ac:dyDescent="0.25">
      <c r="I266" s="431"/>
    </row>
    <row r="267" spans="9:9" x14ac:dyDescent="0.25">
      <c r="I267" s="431"/>
    </row>
    <row r="268" spans="9:9" x14ac:dyDescent="0.25">
      <c r="I268" s="431"/>
    </row>
    <row r="269" spans="9:9" x14ac:dyDescent="0.25">
      <c r="I269" s="431"/>
    </row>
    <row r="270" spans="9:9" x14ac:dyDescent="0.25">
      <c r="I270" s="431"/>
    </row>
    <row r="271" spans="9:9" x14ac:dyDescent="0.25">
      <c r="I271" s="431"/>
    </row>
    <row r="272" spans="9:9" x14ac:dyDescent="0.25">
      <c r="I272" s="431"/>
    </row>
    <row r="273" spans="9:9" x14ac:dyDescent="0.25">
      <c r="I273" s="431"/>
    </row>
    <row r="274" spans="9:9" x14ac:dyDescent="0.25">
      <c r="I274" s="431"/>
    </row>
    <row r="275" spans="9:9" x14ac:dyDescent="0.25">
      <c r="I275" s="431"/>
    </row>
    <row r="276" spans="9:9" x14ac:dyDescent="0.25">
      <c r="I276" s="431"/>
    </row>
    <row r="277" spans="9:9" x14ac:dyDescent="0.25">
      <c r="I277" s="431"/>
    </row>
    <row r="278" spans="9:9" x14ac:dyDescent="0.25">
      <c r="I278" s="431"/>
    </row>
    <row r="279" spans="9:9" x14ac:dyDescent="0.25">
      <c r="I279" s="431"/>
    </row>
    <row r="280" spans="9:9" x14ac:dyDescent="0.25">
      <c r="I280" s="431"/>
    </row>
    <row r="281" spans="9:9" x14ac:dyDescent="0.25">
      <c r="I281" s="431"/>
    </row>
    <row r="282" spans="9:9" x14ac:dyDescent="0.25">
      <c r="I282" s="431"/>
    </row>
    <row r="283" spans="9:9" x14ac:dyDescent="0.25">
      <c r="I283" s="431"/>
    </row>
    <row r="284" spans="9:9" x14ac:dyDescent="0.25">
      <c r="I284" s="431"/>
    </row>
    <row r="285" spans="9:9" x14ac:dyDescent="0.25">
      <c r="I285" s="431"/>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23C82-5F95-45DB-94E5-40D49E3B1954}">
  <sheetPr>
    <tabColor rgb="FFE9617B"/>
  </sheetPr>
  <dimension ref="A2:AA194"/>
  <sheetViews>
    <sheetView zoomScaleNormal="100" workbookViewId="0">
      <selection activeCell="E13" sqref="E13"/>
    </sheetView>
    <sheetView workbookViewId="1"/>
  </sheetViews>
  <sheetFormatPr baseColWidth="10" defaultColWidth="10.7109375" defaultRowHeight="12.75" x14ac:dyDescent="0.25"/>
  <cols>
    <col min="1" max="1" width="7.28515625" style="97" customWidth="1"/>
    <col min="2" max="2" width="7.7109375" style="98" customWidth="1" collapsed="1"/>
    <col min="3" max="3" width="9.7109375" style="98" customWidth="1" collapsed="1"/>
    <col min="4" max="4" width="9.7109375" style="98" customWidth="1"/>
    <col min="5" max="12" width="10.7109375" style="97" collapsed="1"/>
    <col min="13" max="27" width="10.7109375" style="97"/>
    <col min="28" max="16384" width="10.7109375" style="97" collapsed="1"/>
  </cols>
  <sheetData>
    <row r="2" spans="2:15" ht="15" x14ac:dyDescent="0.25">
      <c r="B2" s="261" t="s">
        <v>572</v>
      </c>
    </row>
    <row r="4" spans="2:15" ht="282.60000000000002" customHeight="1" x14ac:dyDescent="0.25"/>
    <row r="6" spans="2:15" x14ac:dyDescent="0.25">
      <c r="B6" s="307" t="s">
        <v>509</v>
      </c>
    </row>
    <row r="8" spans="2:15" s="98" customFormat="1" ht="15" x14ac:dyDescent="0.25">
      <c r="B8" s="261" t="s">
        <v>179</v>
      </c>
      <c r="C8" s="124"/>
      <c r="D8" s="124"/>
    </row>
    <row r="9" spans="2:15" x14ac:dyDescent="0.25">
      <c r="B9" s="123" t="s">
        <v>178</v>
      </c>
      <c r="C9" s="123"/>
      <c r="D9" s="123"/>
    </row>
    <row r="10" spans="2:15" x14ac:dyDescent="0.25">
      <c r="B10" s="122" t="s">
        <v>177</v>
      </c>
      <c r="C10" s="123"/>
      <c r="D10" s="123"/>
    </row>
    <row r="11" spans="2:15" s="116" customFormat="1" ht="19.899999999999999" customHeight="1" x14ac:dyDescent="0.25">
      <c r="B11" s="120" t="s">
        <v>6</v>
      </c>
      <c r="C11" s="119" t="s">
        <v>176</v>
      </c>
      <c r="D11" s="119"/>
      <c r="E11" s="117"/>
      <c r="F11" s="118"/>
      <c r="G11" s="117"/>
      <c r="I11" s="245"/>
      <c r="L11" s="247"/>
      <c r="M11" s="245"/>
      <c r="N11" s="247"/>
      <c r="O11" s="247"/>
    </row>
    <row r="12" spans="2:15" s="112" customFormat="1" x14ac:dyDescent="0.25">
      <c r="B12" s="115"/>
      <c r="C12" s="115"/>
      <c r="D12" s="115" t="s">
        <v>175</v>
      </c>
      <c r="E12" s="113" t="s">
        <v>174</v>
      </c>
      <c r="F12" s="114" t="s">
        <v>30</v>
      </c>
      <c r="G12" s="113" t="s">
        <v>29</v>
      </c>
    </row>
    <row r="13" spans="2:15" x14ac:dyDescent="0.25">
      <c r="B13" s="110">
        <v>2017</v>
      </c>
      <c r="C13" s="106" t="s">
        <v>168</v>
      </c>
      <c r="D13" s="106" t="str">
        <f t="shared" ref="D13:D44" si="0">+C13&amp;" "&amp;B13</f>
        <v>Jul - Sep 2017</v>
      </c>
      <c r="E13" s="105">
        <f>(+'[1]inf_tasas ENE'!P8)/100</f>
        <v>0.28535460260893225</v>
      </c>
      <c r="F13" s="105">
        <f>(+'[1]inf_tasas ENE'!R8)/100</f>
        <v>0.27251667745961283</v>
      </c>
      <c r="G13" s="105">
        <f>(+'[1]inf_tasas ENE'!T8)/100</f>
        <v>0.302929324963158</v>
      </c>
      <c r="I13" s="109"/>
      <c r="J13" s="109"/>
      <c r="K13" s="109"/>
      <c r="L13" s="109"/>
    </row>
    <row r="14" spans="2:15" x14ac:dyDescent="0.25">
      <c r="B14" s="110">
        <v>2017</v>
      </c>
      <c r="C14" s="106" t="s">
        <v>167</v>
      </c>
      <c r="D14" s="106" t="str">
        <f t="shared" si="0"/>
        <v>Ago - Oct 2017</v>
      </c>
      <c r="E14" s="105">
        <f>(+'[1]inf_tasas ENE'!P9)/100</f>
        <v>0.28956721460342122</v>
      </c>
      <c r="F14" s="105">
        <f>(+'[1]inf_tasas ENE'!R9)/100</f>
        <v>0.27563007828214775</v>
      </c>
      <c r="G14" s="105">
        <f>(+'[1]inf_tasas ENE'!T9)/100</f>
        <v>0.30874613871296408</v>
      </c>
      <c r="I14" s="109"/>
      <c r="J14" s="109"/>
      <c r="K14" s="109"/>
      <c r="L14" s="109"/>
    </row>
    <row r="15" spans="2:15" x14ac:dyDescent="0.25">
      <c r="B15" s="110">
        <v>2017</v>
      </c>
      <c r="C15" s="106" t="s">
        <v>166</v>
      </c>
      <c r="D15" s="106" t="str">
        <f t="shared" si="0"/>
        <v>Sep - Nov 2017</v>
      </c>
      <c r="E15" s="105">
        <f>(+'[1]inf_tasas ENE'!P10)/100</f>
        <v>0.29476631048235002</v>
      </c>
      <c r="F15" s="105">
        <f>(+'[1]inf_tasas ENE'!R10)/100</f>
        <v>0.27948815951837847</v>
      </c>
      <c r="G15" s="105">
        <f>(+'[1]inf_tasas ENE'!T10)/100</f>
        <v>0.31557764529478616</v>
      </c>
      <c r="I15" s="109"/>
      <c r="J15" s="109"/>
      <c r="K15" s="109"/>
      <c r="L15" s="109"/>
    </row>
    <row r="16" spans="2:15" x14ac:dyDescent="0.25">
      <c r="B16" s="110">
        <v>2017</v>
      </c>
      <c r="C16" s="106" t="s">
        <v>165</v>
      </c>
      <c r="D16" s="106" t="str">
        <f t="shared" si="0"/>
        <v>Oct - Dic 2017</v>
      </c>
      <c r="E16" s="105">
        <f>(+'[1]inf_tasas ENE'!P11)/100</f>
        <v>0.29621877441797601</v>
      </c>
      <c r="F16" s="105">
        <f>(+'[1]inf_tasas ENE'!R11)/100</f>
        <v>0.28042421747898949</v>
      </c>
      <c r="G16" s="105">
        <f>(+'[1]inf_tasas ENE'!T11)/100</f>
        <v>0.31774652360837757</v>
      </c>
      <c r="I16" s="109"/>
      <c r="J16" s="109"/>
      <c r="K16" s="109"/>
      <c r="L16" s="109"/>
    </row>
    <row r="17" spans="2:12" x14ac:dyDescent="0.25">
      <c r="B17" s="110">
        <v>2017</v>
      </c>
      <c r="C17" s="106" t="s">
        <v>164</v>
      </c>
      <c r="D17" s="106" t="str">
        <f t="shared" si="0"/>
        <v>Nov - Ene 2017</v>
      </c>
      <c r="E17" s="105">
        <f>(+'[1]inf_tasas ENE'!P12)/100</f>
        <v>0.2907805548601024</v>
      </c>
      <c r="F17" s="105">
        <f>(+'[1]inf_tasas ENE'!R12)/100</f>
        <v>0.27505993775610749</v>
      </c>
      <c r="G17" s="105">
        <f>(+'[1]inf_tasas ENE'!T12)/100</f>
        <v>0.31225317723725626</v>
      </c>
      <c r="I17" s="109"/>
      <c r="J17" s="109"/>
      <c r="K17" s="109"/>
      <c r="L17" s="109"/>
    </row>
    <row r="18" spans="2:12" x14ac:dyDescent="0.25">
      <c r="B18" s="110">
        <v>2018</v>
      </c>
      <c r="C18" s="111" t="s">
        <v>163</v>
      </c>
      <c r="D18" s="106" t="str">
        <f t="shared" si="0"/>
        <v>Dic - Feb 2018</v>
      </c>
      <c r="E18" s="105">
        <f>(+'[1]inf_tasas ENE'!P13)/100</f>
        <v>0.28878431632435592</v>
      </c>
      <c r="F18" s="105">
        <f>(+'[1]inf_tasas ENE'!R13)/100</f>
        <v>0.27483136147224074</v>
      </c>
      <c r="G18" s="105">
        <f>(+'[1]inf_tasas ENE'!T13)/100</f>
        <v>0.30808752823742952</v>
      </c>
      <c r="I18" s="109"/>
      <c r="J18" s="109"/>
      <c r="K18" s="109"/>
      <c r="L18" s="109"/>
    </row>
    <row r="19" spans="2:12" x14ac:dyDescent="0.25">
      <c r="B19" s="110">
        <v>2018</v>
      </c>
      <c r="C19" s="106" t="s">
        <v>162</v>
      </c>
      <c r="D19" s="106" t="str">
        <f t="shared" si="0"/>
        <v>Ene - Mar 2018</v>
      </c>
      <c r="E19" s="105">
        <f>(+'[1]inf_tasas ENE'!P14)/100</f>
        <v>0.28625991727158134</v>
      </c>
      <c r="F19" s="105">
        <f>(+'[1]inf_tasas ENE'!R14)/100</f>
        <v>0.27219374135334129</v>
      </c>
      <c r="G19" s="105">
        <f>(+'[1]inf_tasas ENE'!T14)/100</f>
        <v>0.30576736399994042</v>
      </c>
      <c r="I19" s="109"/>
      <c r="J19" s="109"/>
      <c r="K19" s="109"/>
      <c r="L19" s="109"/>
    </row>
    <row r="20" spans="2:12" x14ac:dyDescent="0.25">
      <c r="B20" s="110">
        <v>2018</v>
      </c>
      <c r="C20" s="106" t="s">
        <v>173</v>
      </c>
      <c r="D20" s="106" t="str">
        <f t="shared" si="0"/>
        <v>Feb - Abr 2018</v>
      </c>
      <c r="E20" s="105">
        <f>(+'[1]inf_tasas ENE'!P15)/100</f>
        <v>0.28455594553809649</v>
      </c>
      <c r="F20" s="105">
        <f>(+'[1]inf_tasas ENE'!R15)/100</f>
        <v>0.27092229608216761</v>
      </c>
      <c r="G20" s="105">
        <f>(+'[1]inf_tasas ENE'!T15)/100</f>
        <v>0.30345595990458413</v>
      </c>
      <c r="I20" s="109"/>
      <c r="J20" s="109"/>
      <c r="K20" s="109"/>
      <c r="L20" s="109"/>
    </row>
    <row r="21" spans="2:12" x14ac:dyDescent="0.25">
      <c r="B21" s="110">
        <v>2018</v>
      </c>
      <c r="C21" s="106" t="s">
        <v>172</v>
      </c>
      <c r="D21" s="106" t="str">
        <f t="shared" si="0"/>
        <v>Mar - May 2018</v>
      </c>
      <c r="E21" s="105">
        <f>(+'[1]inf_tasas ENE'!P16)/100</f>
        <v>0.28266910505928894</v>
      </c>
      <c r="F21" s="105">
        <f>(+'[1]inf_tasas ENE'!R16)/100</f>
        <v>0.26887217104905864</v>
      </c>
      <c r="G21" s="105">
        <f>(+'[1]inf_tasas ENE'!T16)/100</f>
        <v>0.30178218893568087</v>
      </c>
      <c r="I21" s="109"/>
      <c r="J21" s="109"/>
      <c r="K21" s="109"/>
      <c r="L21" s="109"/>
    </row>
    <row r="22" spans="2:12" x14ac:dyDescent="0.25">
      <c r="B22" s="110">
        <v>2018</v>
      </c>
      <c r="C22" s="106" t="s">
        <v>171</v>
      </c>
      <c r="D22" s="106" t="str">
        <f t="shared" si="0"/>
        <v>Abr - Jun 2018</v>
      </c>
      <c r="E22" s="105">
        <f>(+'[1]inf_tasas ENE'!P17)/100</f>
        <v>0.28032073258570789</v>
      </c>
      <c r="F22" s="105">
        <f>(+'[1]inf_tasas ENE'!R17)/100</f>
        <v>0.26600324608734677</v>
      </c>
      <c r="G22" s="105">
        <f>(+'[1]inf_tasas ENE'!T17)/100</f>
        <v>0.30019202788113336</v>
      </c>
      <c r="I22" s="109"/>
      <c r="J22" s="109"/>
      <c r="K22" s="109"/>
      <c r="L22" s="109"/>
    </row>
    <row r="23" spans="2:12" x14ac:dyDescent="0.25">
      <c r="B23" s="110">
        <v>2018</v>
      </c>
      <c r="C23" s="106" t="s">
        <v>170</v>
      </c>
      <c r="D23" s="106" t="str">
        <f t="shared" si="0"/>
        <v>May - Jul 2018</v>
      </c>
      <c r="E23" s="105">
        <f>(+'[1]inf_tasas ENE'!P18)/100</f>
        <v>0.27794227018741091</v>
      </c>
      <c r="F23" s="105">
        <f>(+'[1]inf_tasas ENE'!R18)/100</f>
        <v>0.26452692916072018</v>
      </c>
      <c r="G23" s="105">
        <f>(+'[1]inf_tasas ENE'!T18)/100</f>
        <v>0.29663131385797847</v>
      </c>
      <c r="I23" s="109"/>
      <c r="J23" s="109"/>
      <c r="K23" s="109"/>
      <c r="L23" s="109"/>
    </row>
    <row r="24" spans="2:12" x14ac:dyDescent="0.25">
      <c r="B24" s="110">
        <v>2018</v>
      </c>
      <c r="C24" s="106" t="s">
        <v>169</v>
      </c>
      <c r="D24" s="106" t="str">
        <f t="shared" si="0"/>
        <v>Jun - Ago 2018</v>
      </c>
      <c r="E24" s="105">
        <f>(+'[1]inf_tasas ENE'!P19)/100</f>
        <v>0.27685020974570823</v>
      </c>
      <c r="F24" s="105">
        <f>(+'[1]inf_tasas ENE'!R19)/100</f>
        <v>0.26461973365583968</v>
      </c>
      <c r="G24" s="105">
        <f>(+'[1]inf_tasas ENE'!T19)/100</f>
        <v>0.29382879931311973</v>
      </c>
      <c r="I24" s="109"/>
      <c r="J24" s="109"/>
      <c r="K24" s="109"/>
      <c r="L24" s="109"/>
    </row>
    <row r="25" spans="2:12" x14ac:dyDescent="0.25">
      <c r="B25" s="110">
        <v>2018</v>
      </c>
      <c r="C25" s="106" t="s">
        <v>168</v>
      </c>
      <c r="D25" s="106" t="str">
        <f t="shared" si="0"/>
        <v>Jul - Sep 2018</v>
      </c>
      <c r="E25" s="105">
        <f>(+'[1]inf_tasas ENE'!P20)/100</f>
        <v>0.27732182507483244</v>
      </c>
      <c r="F25" s="105">
        <f>(+'[1]inf_tasas ENE'!R20)/100</f>
        <v>0.2652650959427289</v>
      </c>
      <c r="G25" s="105">
        <f>(+'[1]inf_tasas ENE'!T20)/100</f>
        <v>0.29401845812209509</v>
      </c>
      <c r="I25" s="109"/>
      <c r="J25" s="109"/>
      <c r="K25" s="109"/>
      <c r="L25" s="109"/>
    </row>
    <row r="26" spans="2:12" x14ac:dyDescent="0.25">
      <c r="B26" s="110">
        <v>2018</v>
      </c>
      <c r="C26" s="106" t="s">
        <v>167</v>
      </c>
      <c r="D26" s="106" t="str">
        <f t="shared" si="0"/>
        <v>Ago - Oct 2018</v>
      </c>
      <c r="E26" s="105">
        <f>(+'[1]inf_tasas ENE'!P21)/100</f>
        <v>0.28553861191813651</v>
      </c>
      <c r="F26" s="105">
        <f>(+'[1]inf_tasas ENE'!R21)/100</f>
        <v>0.27473420631140572</v>
      </c>
      <c r="G26" s="105">
        <f>(+'[1]inf_tasas ENE'!T21)/100</f>
        <v>0.30033411245147418</v>
      </c>
      <c r="I26" s="109"/>
      <c r="J26" s="109"/>
      <c r="K26" s="109"/>
      <c r="L26" s="109"/>
    </row>
    <row r="27" spans="2:12" x14ac:dyDescent="0.25">
      <c r="B27" s="110">
        <v>2018</v>
      </c>
      <c r="C27" s="106" t="s">
        <v>166</v>
      </c>
      <c r="D27" s="106" t="str">
        <f t="shared" si="0"/>
        <v>Sep - Nov 2018</v>
      </c>
      <c r="E27" s="105">
        <f>(+'[1]inf_tasas ENE'!P22)/100</f>
        <v>0.29280289800192932</v>
      </c>
      <c r="F27" s="105">
        <f>(+'[1]inf_tasas ENE'!R22)/100</f>
        <v>0.27931836895111106</v>
      </c>
      <c r="G27" s="105">
        <f>(+'[1]inf_tasas ENE'!T22)/100</f>
        <v>0.31110709594982427</v>
      </c>
      <c r="I27" s="109"/>
      <c r="J27" s="109"/>
      <c r="K27" s="109"/>
      <c r="L27" s="109"/>
    </row>
    <row r="28" spans="2:12" x14ac:dyDescent="0.25">
      <c r="B28" s="110">
        <v>2018</v>
      </c>
      <c r="C28" s="106" t="s">
        <v>165</v>
      </c>
      <c r="D28" s="106" t="str">
        <f t="shared" si="0"/>
        <v>Oct - Dic 2018</v>
      </c>
      <c r="E28" s="105">
        <f>(+'[1]inf_tasas ENE'!P23)/100</f>
        <v>0.29097000743552165</v>
      </c>
      <c r="F28" s="105">
        <f>(+'[1]inf_tasas ENE'!R23)/100</f>
        <v>0.27877440806064918</v>
      </c>
      <c r="G28" s="105">
        <f>(+'[1]inf_tasas ENE'!T23)/100</f>
        <v>0.30755049267131457</v>
      </c>
      <c r="I28" s="109"/>
      <c r="J28" s="109"/>
      <c r="K28" s="109"/>
      <c r="L28" s="109"/>
    </row>
    <row r="29" spans="2:12" x14ac:dyDescent="0.25">
      <c r="B29" s="110">
        <v>2018</v>
      </c>
      <c r="C29" s="106" t="s">
        <v>164</v>
      </c>
      <c r="D29" s="106" t="str">
        <f t="shared" si="0"/>
        <v>Nov - Ene 2018</v>
      </c>
      <c r="E29" s="105">
        <f>(+'[1]inf_tasas ENE'!P24)/100</f>
        <v>0.28597840849971984</v>
      </c>
      <c r="F29" s="105">
        <f>(+'[1]inf_tasas ENE'!R24)/100</f>
        <v>0.27535714704262154</v>
      </c>
      <c r="G29" s="105">
        <f>(+'[1]inf_tasas ENE'!T24)/100</f>
        <v>0.30050105646589143</v>
      </c>
      <c r="I29" s="109"/>
      <c r="J29" s="109"/>
      <c r="K29" s="109"/>
      <c r="L29" s="109"/>
    </row>
    <row r="30" spans="2:12" x14ac:dyDescent="0.25">
      <c r="B30" s="110">
        <v>2019</v>
      </c>
      <c r="C30" s="111" t="s">
        <v>163</v>
      </c>
      <c r="D30" s="106" t="str">
        <f t="shared" si="0"/>
        <v>Dic - Feb 2019</v>
      </c>
      <c r="E30" s="105">
        <f>(+'[1]inf_tasas ENE'!P25)/100</f>
        <v>0.27901697523572505</v>
      </c>
      <c r="F30" s="105">
        <f>(+'[1]inf_tasas ENE'!R25)/100</f>
        <v>0.27232296754017771</v>
      </c>
      <c r="G30" s="105">
        <f>(+'[1]inf_tasas ENE'!T25)/100</f>
        <v>0.28832258962190516</v>
      </c>
      <c r="I30" s="109"/>
      <c r="J30" s="109"/>
      <c r="K30" s="109"/>
      <c r="L30" s="109"/>
    </row>
    <row r="31" spans="2:12" x14ac:dyDescent="0.25">
      <c r="B31" s="110">
        <v>2019</v>
      </c>
      <c r="C31" s="106" t="s">
        <v>162</v>
      </c>
      <c r="D31" s="106" t="str">
        <f t="shared" si="0"/>
        <v>Ene - Mar 2019</v>
      </c>
      <c r="E31" s="105">
        <f>(+'[1]inf_tasas ENE'!P26)/100</f>
        <v>0.27919277455259478</v>
      </c>
      <c r="F31" s="105">
        <f>(+'[1]inf_tasas ENE'!R26)/100</f>
        <v>0.26994111971459017</v>
      </c>
      <c r="G31" s="105">
        <f>(+'[1]inf_tasas ENE'!T26)/100</f>
        <v>0.29205475913416895</v>
      </c>
      <c r="I31" s="109"/>
      <c r="J31" s="109"/>
      <c r="K31" s="109"/>
      <c r="L31" s="109"/>
    </row>
    <row r="32" spans="2:12" x14ac:dyDescent="0.25">
      <c r="B32" s="110">
        <v>2019</v>
      </c>
      <c r="C32" s="106" t="s">
        <v>173</v>
      </c>
      <c r="D32" s="106" t="str">
        <f t="shared" si="0"/>
        <v>Feb - Abr 2019</v>
      </c>
      <c r="E32" s="105">
        <f>(+'[1]inf_tasas ENE'!P27)/100</f>
        <v>0.2801692432602424</v>
      </c>
      <c r="F32" s="105">
        <f>(+'[1]inf_tasas ENE'!R27)/100</f>
        <v>0.26990806120276783</v>
      </c>
      <c r="G32" s="105">
        <f>(+'[1]inf_tasas ENE'!T27)/100</f>
        <v>0.29433451614406059</v>
      </c>
      <c r="I32" s="109"/>
      <c r="J32" s="109"/>
      <c r="K32" s="109"/>
      <c r="L32" s="109"/>
    </row>
    <row r="33" spans="2:12" x14ac:dyDescent="0.25">
      <c r="B33" s="110">
        <v>2019</v>
      </c>
      <c r="C33" s="106" t="s">
        <v>172</v>
      </c>
      <c r="D33" s="106" t="str">
        <f t="shared" si="0"/>
        <v>Mar - May 2019</v>
      </c>
      <c r="E33" s="105">
        <f>(+'[1]inf_tasas ENE'!P28)/100</f>
        <v>0.28011587510153269</v>
      </c>
      <c r="F33" s="105">
        <f>(+'[1]inf_tasas ENE'!R28)/100</f>
        <v>0.26891452448670039</v>
      </c>
      <c r="G33" s="105">
        <f>(+'[1]inf_tasas ENE'!T28)/100</f>
        <v>0.2953499215381844</v>
      </c>
      <c r="I33" s="109"/>
      <c r="J33" s="109"/>
      <c r="K33" s="109"/>
      <c r="L33" s="109"/>
    </row>
    <row r="34" spans="2:12" x14ac:dyDescent="0.25">
      <c r="B34" s="110">
        <v>2019</v>
      </c>
      <c r="C34" s="106" t="s">
        <v>171</v>
      </c>
      <c r="D34" s="106" t="str">
        <f t="shared" si="0"/>
        <v>Abr - Jun 2019</v>
      </c>
      <c r="E34" s="105">
        <f>(+'[1]inf_tasas ENE'!P29)/100</f>
        <v>0.28137590667591533</v>
      </c>
      <c r="F34" s="105">
        <f>(+'[1]inf_tasas ENE'!R29)/100</f>
        <v>0.27217987053653131</v>
      </c>
      <c r="G34" s="105">
        <f>(+'[1]inf_tasas ENE'!T29)/100</f>
        <v>0.29375662055329532</v>
      </c>
      <c r="I34" s="109"/>
      <c r="J34" s="109"/>
      <c r="K34" s="109"/>
      <c r="L34" s="109"/>
    </row>
    <row r="35" spans="2:12" x14ac:dyDescent="0.25">
      <c r="B35" s="110">
        <v>2019</v>
      </c>
      <c r="C35" s="106" t="s">
        <v>170</v>
      </c>
      <c r="D35" s="106" t="str">
        <f t="shared" si="0"/>
        <v>May - Jul 2019</v>
      </c>
      <c r="E35" s="105">
        <f>(+'[1]inf_tasas ENE'!P30)/100</f>
        <v>0.28109594682402095</v>
      </c>
      <c r="F35" s="105">
        <f>(+'[1]inf_tasas ENE'!R30)/100</f>
        <v>0.27017737202606423</v>
      </c>
      <c r="G35" s="105">
        <f>(+'[1]inf_tasas ENE'!T30)/100</f>
        <v>0.29579178705260428</v>
      </c>
      <c r="I35" s="109"/>
      <c r="J35" s="109"/>
      <c r="K35" s="109"/>
      <c r="L35" s="109"/>
    </row>
    <row r="36" spans="2:12" x14ac:dyDescent="0.25">
      <c r="B36" s="110">
        <v>2019</v>
      </c>
      <c r="C36" s="106" t="s">
        <v>169</v>
      </c>
      <c r="D36" s="106" t="str">
        <f t="shared" si="0"/>
        <v>Jun - Ago 2019</v>
      </c>
      <c r="E36" s="105">
        <f>(+'[1]inf_tasas ENE'!P31)/100</f>
        <v>0.28223688113217649</v>
      </c>
      <c r="F36" s="105">
        <f>(+'[1]inf_tasas ENE'!R31)/100</f>
        <v>0.27208097770175221</v>
      </c>
      <c r="G36" s="105">
        <f>(+'[1]inf_tasas ENE'!T31)/100</f>
        <v>0.29588411436589007</v>
      </c>
      <c r="I36" s="109"/>
      <c r="J36" s="109"/>
      <c r="K36" s="109"/>
      <c r="L36" s="109"/>
    </row>
    <row r="37" spans="2:12" x14ac:dyDescent="0.25">
      <c r="B37" s="110">
        <v>2019</v>
      </c>
      <c r="C37" s="106" t="s">
        <v>168</v>
      </c>
      <c r="D37" s="106" t="str">
        <f t="shared" si="0"/>
        <v>Jul - Sep 2019</v>
      </c>
      <c r="E37" s="105">
        <f>(+'[1]inf_tasas ENE'!P32)/100</f>
        <v>0.28104755089342359</v>
      </c>
      <c r="F37" s="105">
        <f>(+'[1]inf_tasas ENE'!R32)/100</f>
        <v>0.27000089725417292</v>
      </c>
      <c r="G37" s="105">
        <f>(+'[1]inf_tasas ENE'!T32)/100</f>
        <v>0.29594365971647046</v>
      </c>
      <c r="I37" s="109"/>
      <c r="J37" s="109"/>
      <c r="K37" s="109"/>
      <c r="L37" s="109"/>
    </row>
    <row r="38" spans="2:12" x14ac:dyDescent="0.25">
      <c r="B38" s="110">
        <v>2019</v>
      </c>
      <c r="C38" s="106" t="s">
        <v>167</v>
      </c>
      <c r="D38" s="106" t="str">
        <f t="shared" si="0"/>
        <v>Ago - Oct 2019</v>
      </c>
      <c r="E38" s="105">
        <f>(+'[1]inf_tasas ENE'!P33)/100</f>
        <v>0.28563306250111525</v>
      </c>
      <c r="F38" s="105">
        <f>(+'[1]inf_tasas ENE'!R33)/100</f>
        <v>0.27599088013706974</v>
      </c>
      <c r="G38" s="105">
        <f>(+'[1]inf_tasas ENE'!T33)/100</f>
        <v>0.29873960556421292</v>
      </c>
      <c r="I38" s="109"/>
      <c r="J38" s="109"/>
      <c r="K38" s="109"/>
      <c r="L38" s="109"/>
    </row>
    <row r="39" spans="2:12" x14ac:dyDescent="0.25">
      <c r="B39" s="110">
        <v>2019</v>
      </c>
      <c r="C39" s="106" t="s">
        <v>166</v>
      </c>
      <c r="D39" s="106" t="str">
        <f t="shared" si="0"/>
        <v>Sep - Nov 2019</v>
      </c>
      <c r="E39" s="105">
        <f>(+'[1]inf_tasas ENE'!P34)/100</f>
        <v>0.29086933852981878</v>
      </c>
      <c r="F39" s="105">
        <f>(+'[1]inf_tasas ENE'!R34)/100</f>
        <v>0.27977493349868859</v>
      </c>
      <c r="G39" s="105">
        <f>(+'[1]inf_tasas ENE'!T34)/100</f>
        <v>0.30598732958384955</v>
      </c>
      <c r="I39" s="109"/>
      <c r="J39" s="109"/>
      <c r="K39" s="109"/>
      <c r="L39" s="109"/>
    </row>
    <row r="40" spans="2:12" x14ac:dyDescent="0.25">
      <c r="B40" s="110">
        <v>2019</v>
      </c>
      <c r="C40" s="106" t="s">
        <v>165</v>
      </c>
      <c r="D40" s="106" t="str">
        <f t="shared" si="0"/>
        <v>Oct - Dic 2019</v>
      </c>
      <c r="E40" s="105">
        <f>(+'[1]inf_tasas ENE'!P35)/100</f>
        <v>0.29308704573064809</v>
      </c>
      <c r="F40" s="105">
        <f>(+'[1]inf_tasas ENE'!R35)/100</f>
        <v>0.28353738311557775</v>
      </c>
      <c r="G40" s="105">
        <f>(+'[1]inf_tasas ENE'!T35)/100</f>
        <v>0.30606062689406333</v>
      </c>
      <c r="I40" s="109"/>
      <c r="J40" s="109"/>
      <c r="K40" s="109"/>
      <c r="L40" s="109"/>
    </row>
    <row r="41" spans="2:12" x14ac:dyDescent="0.25">
      <c r="B41" s="110">
        <v>2019</v>
      </c>
      <c r="C41" s="106" t="s">
        <v>164</v>
      </c>
      <c r="D41" s="106" t="str">
        <f t="shared" si="0"/>
        <v>Nov - Ene 2019</v>
      </c>
      <c r="E41" s="105">
        <f>(+'[1]inf_tasas ENE'!P36)/100</f>
        <v>0.2914603650764116</v>
      </c>
      <c r="F41" s="105">
        <f>(+'[1]inf_tasas ENE'!R36)/100</f>
        <v>0.28070421086080749</v>
      </c>
      <c r="G41" s="105">
        <f>(+'[1]inf_tasas ENE'!T36)/100</f>
        <v>0.30597777279365534</v>
      </c>
      <c r="I41" s="109"/>
      <c r="J41" s="109"/>
      <c r="K41" s="109"/>
      <c r="L41" s="109"/>
    </row>
    <row r="42" spans="2:12" x14ac:dyDescent="0.25">
      <c r="B42" s="107">
        <v>2020</v>
      </c>
      <c r="C42" s="108" t="s">
        <v>163</v>
      </c>
      <c r="D42" s="106" t="str">
        <f t="shared" si="0"/>
        <v>Dic - Feb 2020</v>
      </c>
      <c r="E42" s="105">
        <f>(+'[1]inf_tasas ENE'!P37)/100</f>
        <v>0.2902447977547073</v>
      </c>
      <c r="F42" s="105">
        <f>(+'[1]inf_tasas ENE'!R37)/100</f>
        <v>0.27609550945751599</v>
      </c>
      <c r="G42" s="105">
        <f>(+'[1]inf_tasas ENE'!T37)/100</f>
        <v>0.30951191878365791</v>
      </c>
    </row>
    <row r="43" spans="2:12" x14ac:dyDescent="0.25">
      <c r="B43" s="107">
        <v>2020</v>
      </c>
      <c r="C43" s="106" t="s">
        <v>162</v>
      </c>
      <c r="D43" s="106" t="str">
        <f t="shared" si="0"/>
        <v>Ene - Mar 2020</v>
      </c>
      <c r="E43" s="105">
        <f>(+'[1]inf_tasas ENE'!P38)/100</f>
        <v>0.28856329579163614</v>
      </c>
      <c r="F43" s="105">
        <f>(+'[1]inf_tasas ENE'!R38)/100</f>
        <v>0.27471087545816897</v>
      </c>
      <c r="G43" s="105">
        <f>(+'[1]inf_tasas ENE'!T38)/100</f>
        <v>0.30779601690031749</v>
      </c>
    </row>
    <row r="44" spans="2:12" x14ac:dyDescent="0.25">
      <c r="B44" s="107">
        <v>2020</v>
      </c>
      <c r="C44" s="106" t="s">
        <v>173</v>
      </c>
      <c r="D44" s="106" t="str">
        <f t="shared" si="0"/>
        <v>Feb - Abr 2020</v>
      </c>
      <c r="E44" s="105">
        <f>(+'[1]inf_tasas ENE'!P39)/100</f>
        <v>0.26305791683156077</v>
      </c>
      <c r="F44" s="105">
        <f>(+'[1]inf_tasas ENE'!R39)/100</f>
        <v>0.25647373187526279</v>
      </c>
      <c r="G44" s="105">
        <f>(+'[1]inf_tasas ENE'!T39)/100</f>
        <v>0.27244538332085849</v>
      </c>
    </row>
    <row r="45" spans="2:12" x14ac:dyDescent="0.25">
      <c r="B45" s="107">
        <v>2020</v>
      </c>
      <c r="C45" s="106" t="s">
        <v>172</v>
      </c>
      <c r="D45" s="106" t="str">
        <f t="shared" ref="D45:D76" si="1">+C45&amp;" "&amp;B45</f>
        <v>Mar - May 2020</v>
      </c>
      <c r="E45" s="105">
        <f>(+'[1]inf_tasas ENE'!P40)/100</f>
        <v>0.23548172755780186</v>
      </c>
      <c r="F45" s="105">
        <f>(+'[1]inf_tasas ENE'!R40)/100</f>
        <v>0.23253954686065825</v>
      </c>
      <c r="G45" s="105">
        <f>(+'[1]inf_tasas ENE'!T40)/100</f>
        <v>0.23976763680801702</v>
      </c>
    </row>
    <row r="46" spans="2:12" x14ac:dyDescent="0.25">
      <c r="B46" s="107">
        <v>2020</v>
      </c>
      <c r="C46" s="106" t="s">
        <v>171</v>
      </c>
      <c r="D46" s="106" t="str">
        <f t="shared" si="1"/>
        <v>Abr - Jun 2020</v>
      </c>
      <c r="E46" s="105">
        <f>(+'[1]inf_tasas ENE'!P41)/100</f>
        <v>0.22362061292105156</v>
      </c>
      <c r="F46" s="105">
        <f>(+'[1]inf_tasas ENE'!R41)/100</f>
        <v>0.22241735374562119</v>
      </c>
      <c r="G46" s="105">
        <f>(+'[1]inf_tasas ENE'!T41)/100</f>
        <v>0.22537001110643157</v>
      </c>
    </row>
    <row r="47" spans="2:12" x14ac:dyDescent="0.25">
      <c r="B47" s="107">
        <v>2020</v>
      </c>
      <c r="C47" s="106" t="s">
        <v>170</v>
      </c>
      <c r="D47" s="106" t="str">
        <f t="shared" si="1"/>
        <v>May - Jul 2020</v>
      </c>
      <c r="E47" s="105">
        <f>(+'[1]inf_tasas ENE'!P42)/100</f>
        <v>0.22305122108139083</v>
      </c>
      <c r="F47" s="105">
        <f>(+'[1]inf_tasas ENE'!R42)/100</f>
        <v>0.21907470045432395</v>
      </c>
      <c r="G47" s="105">
        <f>(+'[1]inf_tasas ENE'!T42)/100</f>
        <v>0.22877604034520227</v>
      </c>
    </row>
    <row r="48" spans="2:12" x14ac:dyDescent="0.25">
      <c r="B48" s="107">
        <v>2020</v>
      </c>
      <c r="C48" s="106" t="s">
        <v>169</v>
      </c>
      <c r="D48" s="106" t="str">
        <f t="shared" si="1"/>
        <v>Jun - Ago 2020</v>
      </c>
      <c r="E48" s="105">
        <f>(+'[1]inf_tasas ENE'!P43)/100</f>
        <v>0.22528965862204134</v>
      </c>
      <c r="F48" s="105">
        <f>(+'[1]inf_tasas ENE'!R43)/100</f>
        <v>0.21753037147903601</v>
      </c>
      <c r="G48" s="105">
        <f>(+'[1]inf_tasas ENE'!T43)/100</f>
        <v>0.23637450524351661</v>
      </c>
    </row>
    <row r="49" spans="2:7" x14ac:dyDescent="0.25">
      <c r="B49" s="107">
        <v>2020</v>
      </c>
      <c r="C49" s="106" t="s">
        <v>168</v>
      </c>
      <c r="D49" s="106" t="str">
        <f t="shared" si="1"/>
        <v>Jul - Sep 2020</v>
      </c>
      <c r="E49" s="105">
        <f>(+'[1]inf_tasas ENE'!P44)/100</f>
        <v>0.2348861435030839</v>
      </c>
      <c r="F49" s="105">
        <f>(+'[1]inf_tasas ENE'!R44)/100</f>
        <v>0.23010670528905608</v>
      </c>
      <c r="G49" s="105">
        <f>(+'[1]inf_tasas ENE'!T44)/100</f>
        <v>0.24171547653632949</v>
      </c>
    </row>
    <row r="50" spans="2:7" x14ac:dyDescent="0.25">
      <c r="B50" s="107">
        <v>2020</v>
      </c>
      <c r="C50" s="106" t="s">
        <v>167</v>
      </c>
      <c r="D50" s="106" t="str">
        <f t="shared" si="1"/>
        <v>Ago - Oct 2020</v>
      </c>
      <c r="E50" s="105">
        <f>(+'[1]inf_tasas ENE'!P45)/100</f>
        <v>0.25122065194892929</v>
      </c>
      <c r="F50" s="105">
        <f>(+'[1]inf_tasas ENE'!R45)/100</f>
        <v>0.24781356399597532</v>
      </c>
      <c r="G50" s="105">
        <f>(+'[1]inf_tasas ENE'!T45)/100</f>
        <v>0.25614245600389401</v>
      </c>
    </row>
    <row r="51" spans="2:7" x14ac:dyDescent="0.25">
      <c r="B51" s="107">
        <v>2020</v>
      </c>
      <c r="C51" s="106" t="s">
        <v>166</v>
      </c>
      <c r="D51" s="106" t="str">
        <f t="shared" si="1"/>
        <v>Sep - Nov 2020</v>
      </c>
      <c r="E51" s="105">
        <f>(+'[1]inf_tasas ENE'!P46)/100</f>
        <v>0.26681234348360405</v>
      </c>
      <c r="F51" s="105">
        <f>(+'[1]inf_tasas ENE'!R46)/100</f>
        <v>0.2697595358169278</v>
      </c>
      <c r="G51" s="105">
        <f>(+'[1]inf_tasas ENE'!T46)/100</f>
        <v>0.26250316281283304</v>
      </c>
    </row>
    <row r="52" spans="2:7" x14ac:dyDescent="0.25">
      <c r="B52" s="107">
        <v>2020</v>
      </c>
      <c r="C52" s="106" t="s">
        <v>165</v>
      </c>
      <c r="D52" s="106" t="str">
        <f t="shared" si="1"/>
        <v>Oct - Dic 2020</v>
      </c>
      <c r="E52" s="105">
        <f>(+'[1]inf_tasas ENE'!P47)/100</f>
        <v>0.26977950657301508</v>
      </c>
      <c r="F52" s="105">
        <f>(+'[1]inf_tasas ENE'!R47)/100</f>
        <v>0.26879324066770471</v>
      </c>
      <c r="G52" s="105">
        <f>(+'[1]inf_tasas ENE'!T47)/100</f>
        <v>0.27122707644756111</v>
      </c>
    </row>
    <row r="53" spans="2:7" x14ac:dyDescent="0.25">
      <c r="B53" s="107">
        <v>2020</v>
      </c>
      <c r="C53" s="106" t="s">
        <v>164</v>
      </c>
      <c r="D53" s="106" t="str">
        <f t="shared" si="1"/>
        <v>Nov - Ene 2020</v>
      </c>
      <c r="E53" s="105">
        <f>(+'[1]inf_tasas ENE'!P48)/100</f>
        <v>0.27084546322191183</v>
      </c>
      <c r="F53" s="105">
        <f>(+'[1]inf_tasas ENE'!R48)/100</f>
        <v>0.26765519335319005</v>
      </c>
      <c r="G53" s="105">
        <f>(+'[1]inf_tasas ENE'!T48)/100</f>
        <v>0.27549377625643068</v>
      </c>
    </row>
    <row r="54" spans="2:7" x14ac:dyDescent="0.25">
      <c r="B54" s="107">
        <v>2021</v>
      </c>
      <c r="C54" s="106" t="s">
        <v>163</v>
      </c>
      <c r="D54" s="106" t="str">
        <f t="shared" si="1"/>
        <v>Dic - Feb 2021</v>
      </c>
      <c r="E54" s="105">
        <f>(+'[1]inf_tasas ENE'!P49)/100</f>
        <v>0.26460219806021984</v>
      </c>
      <c r="F54" s="105">
        <f>(+'[1]inf_tasas ENE'!R49)/100</f>
        <v>0.25814049800243782</v>
      </c>
      <c r="G54" s="105">
        <f>(+'[1]inf_tasas ENE'!T49)/100</f>
        <v>0.2739715999680431</v>
      </c>
    </row>
    <row r="55" spans="2:7" x14ac:dyDescent="0.25">
      <c r="B55" s="107">
        <v>2021</v>
      </c>
      <c r="C55" s="106" t="s">
        <v>162</v>
      </c>
      <c r="D55" s="106" t="str">
        <f t="shared" si="1"/>
        <v>Ene - Mar 2021</v>
      </c>
      <c r="E55" s="105">
        <f>(+'[1]inf_tasas ENE'!P50)/100</f>
        <v>0.26687243503725505</v>
      </c>
      <c r="F55" s="105">
        <f>(+'[1]inf_tasas ENE'!R50)/100</f>
        <v>0.26086357878031452</v>
      </c>
      <c r="G55" s="105">
        <f>(+'[1]inf_tasas ENE'!T50)/100</f>
        <v>0.27560144415026633</v>
      </c>
    </row>
    <row r="56" spans="2:7" x14ac:dyDescent="0.25">
      <c r="B56" s="107">
        <v>2021</v>
      </c>
      <c r="C56" s="106" t="s">
        <v>173</v>
      </c>
      <c r="D56" s="106" t="str">
        <f t="shared" si="1"/>
        <v>Feb - Abr 2021</v>
      </c>
      <c r="E56" s="105">
        <f>(+'[1]inf_tasas ENE'!P51)/100</f>
        <v>0.2620339263109146</v>
      </c>
      <c r="F56" s="105">
        <f>(+'[1]inf_tasas ENE'!R51)/100</f>
        <v>0.25771326435533642</v>
      </c>
      <c r="G56" s="105">
        <f>(+'[1]inf_tasas ENE'!T51)/100</f>
        <v>0.26832000249881011</v>
      </c>
    </row>
    <row r="57" spans="2:7" x14ac:dyDescent="0.25">
      <c r="B57" s="107">
        <v>2021</v>
      </c>
      <c r="C57" s="106" t="s">
        <v>172</v>
      </c>
      <c r="D57" s="106" t="str">
        <f t="shared" si="1"/>
        <v>Mar - May 2021</v>
      </c>
      <c r="E57" s="105">
        <f>(+'[1]inf_tasas ENE'!P52)/100</f>
        <v>0.26096297408109093</v>
      </c>
      <c r="F57" s="105">
        <f>(+'[1]inf_tasas ENE'!R52)/100</f>
        <v>0.25640687544629048</v>
      </c>
      <c r="G57" s="105">
        <f>(+'[1]inf_tasas ENE'!T52)/100</f>
        <v>0.26752680875876061</v>
      </c>
    </row>
    <row r="58" spans="2:7" x14ac:dyDescent="0.25">
      <c r="B58" s="107">
        <v>2021</v>
      </c>
      <c r="C58" s="106" t="s">
        <v>171</v>
      </c>
      <c r="D58" s="106" t="str">
        <f t="shared" si="1"/>
        <v>Abr - Jun 2021</v>
      </c>
      <c r="E58" s="105">
        <f>(+'[1]inf_tasas ENE'!P53)/100</f>
        <v>0.25963814724550238</v>
      </c>
      <c r="F58" s="105">
        <f>(+'[1]inf_tasas ENE'!R53)/100</f>
        <v>0.25513718739051283</v>
      </c>
      <c r="G58" s="105">
        <f>(+'[1]inf_tasas ENE'!T53)/100</f>
        <v>0.26609913568025823</v>
      </c>
    </row>
    <row r="59" spans="2:7" x14ac:dyDescent="0.25">
      <c r="B59" s="107">
        <v>2021</v>
      </c>
      <c r="C59" s="106" t="s">
        <v>170</v>
      </c>
      <c r="D59" s="106" t="str">
        <f t="shared" si="1"/>
        <v>May - Jul 2021</v>
      </c>
      <c r="E59" s="105">
        <f>(+'[1]inf_tasas ENE'!P54)/100</f>
        <v>0.26891013251986035</v>
      </c>
      <c r="F59" s="105">
        <f>(+'[1]inf_tasas ENE'!R54)/100</f>
        <v>0.2650076458939582</v>
      </c>
      <c r="G59" s="105">
        <f>(+'[1]inf_tasas ENE'!T54)/100</f>
        <v>0.2744955977339345</v>
      </c>
    </row>
    <row r="60" spans="2:7" x14ac:dyDescent="0.25">
      <c r="B60" s="107">
        <v>2021</v>
      </c>
      <c r="C60" s="106" t="s">
        <v>169</v>
      </c>
      <c r="D60" s="106" t="str">
        <f t="shared" si="1"/>
        <v>Jun - Ago 2021</v>
      </c>
      <c r="E60" s="105">
        <f>(+'[1]inf_tasas ENE'!P55)/100</f>
        <v>0.27130015518174644</v>
      </c>
      <c r="F60" s="105">
        <f>(+'[1]inf_tasas ENE'!R55)/100</f>
        <v>0.26956836444843268</v>
      </c>
      <c r="G60" s="105">
        <f>(+'[1]inf_tasas ENE'!T55)/100</f>
        <v>0.27377575260153564</v>
      </c>
    </row>
    <row r="61" spans="2:7" x14ac:dyDescent="0.25">
      <c r="B61" s="107">
        <v>2021</v>
      </c>
      <c r="C61" s="106" t="s">
        <v>168</v>
      </c>
      <c r="D61" s="106" t="str">
        <f t="shared" si="1"/>
        <v>Jul - Sep 2021</v>
      </c>
      <c r="E61" s="105">
        <f>(+'[1]inf_tasas ENE'!P56)/100</f>
        <v>0.2764895258663278</v>
      </c>
      <c r="F61" s="105">
        <f>(+'[1]inf_tasas ENE'!R56)/100</f>
        <v>0.27213453464395609</v>
      </c>
      <c r="G61" s="105">
        <f>(+'[1]inf_tasas ENE'!T56)/100</f>
        <v>0.28270336437351112</v>
      </c>
    </row>
    <row r="62" spans="2:7" x14ac:dyDescent="0.25">
      <c r="B62" s="107">
        <v>2021</v>
      </c>
      <c r="C62" s="106" t="s">
        <v>167</v>
      </c>
      <c r="D62" s="106" t="str">
        <f t="shared" si="1"/>
        <v>Ago - Oct 2021</v>
      </c>
      <c r="E62" s="105">
        <f>(+'[1]inf_tasas ENE'!P57)/100</f>
        <v>0.2792718273441066</v>
      </c>
      <c r="F62" s="105">
        <f>(+'[1]inf_tasas ENE'!R57)/100</f>
        <v>0.27262853601408582</v>
      </c>
      <c r="G62" s="105">
        <f>(+'[1]inf_tasas ENE'!T57)/100</f>
        <v>0.28863171677108679</v>
      </c>
    </row>
    <row r="63" spans="2:7" x14ac:dyDescent="0.25">
      <c r="B63" s="107">
        <v>2021</v>
      </c>
      <c r="C63" s="106" t="s">
        <v>166</v>
      </c>
      <c r="D63" s="106" t="str">
        <f t="shared" si="1"/>
        <v>Sep - Nov 2021</v>
      </c>
      <c r="E63" s="105">
        <f>(+'[1]inf_tasas ENE'!P58)/100</f>
        <v>0.28213103951341889</v>
      </c>
      <c r="F63" s="105">
        <f>(+'[1]inf_tasas ENE'!R58)/100</f>
        <v>0.27045720468551848</v>
      </c>
      <c r="G63" s="105">
        <f>(+'[1]inf_tasas ENE'!T58)/100</f>
        <v>0.29847768263161012</v>
      </c>
    </row>
    <row r="64" spans="2:7" x14ac:dyDescent="0.25">
      <c r="B64" s="107">
        <v>2021</v>
      </c>
      <c r="C64" s="106" t="s">
        <v>165</v>
      </c>
      <c r="D64" s="106" t="str">
        <f t="shared" si="1"/>
        <v>Oct - Dic 2021</v>
      </c>
      <c r="E64" s="105">
        <f>(+'[1]inf_tasas ENE'!P59)/100</f>
        <v>0.28278862905396818</v>
      </c>
      <c r="F64" s="105">
        <f>(+'[1]inf_tasas ENE'!R59)/100</f>
        <v>0.27323356515611913</v>
      </c>
      <c r="G64" s="105">
        <f>(+'[1]inf_tasas ENE'!T59)/100</f>
        <v>0.29605847374003108</v>
      </c>
    </row>
    <row r="65" spans="2:7" x14ac:dyDescent="0.25">
      <c r="B65" s="107">
        <v>2021</v>
      </c>
      <c r="C65" s="106" t="s">
        <v>164</v>
      </c>
      <c r="D65" s="106" t="str">
        <f t="shared" si="1"/>
        <v>Nov - Ene 2021</v>
      </c>
      <c r="E65" s="105">
        <f>(+'[1]inf_tasas ENE'!P60)/100</f>
        <v>0.2803396790541231</v>
      </c>
      <c r="F65" s="105">
        <f>(+'[1]inf_tasas ENE'!R60)/100</f>
        <v>0.27428685345983395</v>
      </c>
      <c r="G65" s="105">
        <f>(+'[1]inf_tasas ENE'!T60)/100</f>
        <v>0.28877392584959299</v>
      </c>
    </row>
    <row r="66" spans="2:7" x14ac:dyDescent="0.25">
      <c r="B66" s="107">
        <v>2022</v>
      </c>
      <c r="C66" s="106" t="s">
        <v>163</v>
      </c>
      <c r="D66" s="106" t="str">
        <f t="shared" si="1"/>
        <v>Dic - Feb 2022</v>
      </c>
      <c r="E66" s="105">
        <f>(+'[1]inf_tasas ENE'!P61)/100</f>
        <v>0.2781410977307302</v>
      </c>
      <c r="F66" s="105">
        <f>(+'[1]inf_tasas ENE'!R61)/100</f>
        <v>0.27534745717589504</v>
      </c>
      <c r="G66" s="105">
        <f>(+'[1]inf_tasas ENE'!T61)/100</f>
        <v>0.28203093872896795</v>
      </c>
    </row>
    <row r="67" spans="2:7" x14ac:dyDescent="0.25">
      <c r="B67" s="107">
        <v>2022</v>
      </c>
      <c r="C67" s="106" t="s">
        <v>162</v>
      </c>
      <c r="D67" s="106" t="str">
        <f t="shared" si="1"/>
        <v>Ene - Mar 2022</v>
      </c>
      <c r="E67" s="105">
        <f>(+'[1]inf_tasas ENE'!P62)/100</f>
        <v>0.27267604368477583</v>
      </c>
      <c r="F67" s="105">
        <f>(+'[1]inf_tasas ENE'!R62)/100</f>
        <v>0.27087983871602128</v>
      </c>
      <c r="G67" s="105">
        <f>(+'[1]inf_tasas ENE'!T62)/100</f>
        <v>0.2751825664698746</v>
      </c>
    </row>
    <row r="68" spans="2:7" x14ac:dyDescent="0.25">
      <c r="B68" s="107">
        <v>2022</v>
      </c>
      <c r="C68" s="106" t="s">
        <v>173</v>
      </c>
      <c r="D68" s="106" t="str">
        <f t="shared" si="1"/>
        <v>Feb - Abr 2022</v>
      </c>
      <c r="E68" s="105">
        <f>(+'[1]inf_tasas ENE'!P63)/100</f>
        <v>0.27169992859484204</v>
      </c>
      <c r="F68" s="105">
        <f>(+'[1]inf_tasas ENE'!R63)/100</f>
        <v>0.26424990456617714</v>
      </c>
      <c r="G68" s="105">
        <f>(+'[1]inf_tasas ENE'!T63)/100</f>
        <v>0.2819699270074521</v>
      </c>
    </row>
    <row r="69" spans="2:7" x14ac:dyDescent="0.25">
      <c r="B69" s="107">
        <v>2022</v>
      </c>
      <c r="C69" s="106" t="s">
        <v>172</v>
      </c>
      <c r="D69" s="106" t="str">
        <f t="shared" si="1"/>
        <v>Mar - May 2022</v>
      </c>
      <c r="E69" s="105">
        <f>(+'[1]inf_tasas ENE'!P64)/100</f>
        <v>0.27349169749666635</v>
      </c>
      <c r="F69" s="105">
        <f>(+'[1]inf_tasas ENE'!R64)/100</f>
        <v>0.26586104012358824</v>
      </c>
      <c r="G69" s="105">
        <f>(+'[1]inf_tasas ENE'!T64)/100</f>
        <v>0.28394413818274605</v>
      </c>
    </row>
    <row r="70" spans="2:7" x14ac:dyDescent="0.25">
      <c r="B70" s="107">
        <v>2022</v>
      </c>
      <c r="C70" s="106" t="s">
        <v>171</v>
      </c>
      <c r="D70" s="106" t="str">
        <f t="shared" si="1"/>
        <v>Abr - Jun 2022</v>
      </c>
      <c r="E70" s="105">
        <f>(+'[1]inf_tasas ENE'!P65)/100</f>
        <v>0.27108124218716378</v>
      </c>
      <c r="F70" s="105">
        <f>(+'[1]inf_tasas ENE'!R65)/100</f>
        <v>0.26278605944410954</v>
      </c>
      <c r="G70" s="105">
        <f>(+'[1]inf_tasas ENE'!T65)/100</f>
        <v>0.28243272613960752</v>
      </c>
    </row>
    <row r="71" spans="2:7" x14ac:dyDescent="0.25">
      <c r="B71" s="107">
        <v>2022</v>
      </c>
      <c r="C71" s="106" t="s">
        <v>170</v>
      </c>
      <c r="D71" s="106" t="str">
        <f t="shared" si="1"/>
        <v>May - Jul 2022</v>
      </c>
      <c r="E71" s="105">
        <f>(+'[1]inf_tasas ENE'!P66)/100</f>
        <v>0.26638911205148119</v>
      </c>
      <c r="F71" s="105">
        <f>(+'[1]inf_tasas ENE'!R66)/100</f>
        <v>0.2557942425973303</v>
      </c>
      <c r="G71" s="105">
        <f>(+'[1]inf_tasas ENE'!T66)/100</f>
        <v>0.28074779095762548</v>
      </c>
    </row>
    <row r="72" spans="2:7" x14ac:dyDescent="0.25">
      <c r="B72" s="107">
        <v>2022</v>
      </c>
      <c r="C72" s="106" t="s">
        <v>169</v>
      </c>
      <c r="D72" s="106" t="str">
        <f t="shared" si="1"/>
        <v>Jun - Ago 2022</v>
      </c>
      <c r="E72" s="105">
        <f>(+'[1]inf_tasas ENE'!P67)/100</f>
        <v>0.26661142937526178</v>
      </c>
      <c r="F72" s="105">
        <f>(+'[1]inf_tasas ENE'!R67)/100</f>
        <v>0.25458188937919901</v>
      </c>
      <c r="G72" s="105">
        <f>(+'[1]inf_tasas ENE'!T67)/100</f>
        <v>0.28295394619226294</v>
      </c>
    </row>
    <row r="73" spans="2:7" x14ac:dyDescent="0.25">
      <c r="B73" s="107">
        <v>2022</v>
      </c>
      <c r="C73" s="106" t="s">
        <v>168</v>
      </c>
      <c r="D73" s="106" t="str">
        <f t="shared" si="1"/>
        <v>Jul - Sep 2022</v>
      </c>
      <c r="E73" s="105">
        <f>(+'[1]inf_tasas ENE'!P68)/100</f>
        <v>0.27062018528346771</v>
      </c>
      <c r="F73" s="105">
        <f>(+'[1]inf_tasas ENE'!R68)/100</f>
        <v>0.25730528053311336</v>
      </c>
      <c r="G73" s="105">
        <f>(+'[1]inf_tasas ENE'!T68)/100</f>
        <v>0.28874696013399903</v>
      </c>
    </row>
    <row r="74" spans="2:7" x14ac:dyDescent="0.25">
      <c r="B74" s="107">
        <v>2022</v>
      </c>
      <c r="C74" s="106" t="s">
        <v>167</v>
      </c>
      <c r="D74" s="106" t="str">
        <f t="shared" si="1"/>
        <v>Ago - Oct 2022</v>
      </c>
      <c r="E74" s="105">
        <f>(+'[1]inf_tasas ENE'!P69)/100</f>
        <v>0.27665694292883763</v>
      </c>
      <c r="F74" s="105">
        <f>(+'[1]inf_tasas ENE'!R69)/100</f>
        <v>0.26655079332766674</v>
      </c>
      <c r="G74" s="105">
        <f>(+'[1]inf_tasas ENE'!T69)/100</f>
        <v>0.29050978601588906</v>
      </c>
    </row>
    <row r="75" spans="2:7" x14ac:dyDescent="0.25">
      <c r="B75" s="107">
        <v>2022</v>
      </c>
      <c r="C75" s="106" t="s">
        <v>166</v>
      </c>
      <c r="D75" s="106" t="str">
        <f t="shared" si="1"/>
        <v>Sep - Nov 2022</v>
      </c>
      <c r="E75" s="105">
        <f>(+'[1]inf_tasas ENE'!P70)/100</f>
        <v>0.27276881256707325</v>
      </c>
      <c r="F75" s="105">
        <f>(+'[1]inf_tasas ENE'!R70)/100</f>
        <v>0.26537265472955029</v>
      </c>
      <c r="G75" s="105">
        <f>(+'[1]inf_tasas ENE'!T70)/100</f>
        <v>0.28279527452832703</v>
      </c>
    </row>
    <row r="76" spans="2:7" x14ac:dyDescent="0.25">
      <c r="B76" s="107">
        <v>2022</v>
      </c>
      <c r="C76" s="106" t="s">
        <v>165</v>
      </c>
      <c r="D76" s="106" t="str">
        <f t="shared" si="1"/>
        <v>Oct - Dic 2022</v>
      </c>
      <c r="E76" s="105">
        <f>(+'[1]inf_tasas ENE'!P71)/100</f>
        <v>0.2736755785465636</v>
      </c>
      <c r="F76" s="105">
        <f>(+'[1]inf_tasas ENE'!R71)/100</f>
        <v>0.26541179828738853</v>
      </c>
      <c r="G76" s="105">
        <f>(+'[1]inf_tasas ENE'!T71)/100</f>
        <v>0.2847919119969145</v>
      </c>
    </row>
    <row r="77" spans="2:7" x14ac:dyDescent="0.25">
      <c r="B77" s="107">
        <v>2022</v>
      </c>
      <c r="C77" s="106" t="s">
        <v>164</v>
      </c>
      <c r="D77" s="106" t="str">
        <f t="shared" ref="D77:D91" si="2">+C77&amp;" "&amp;B77</f>
        <v>Nov - Ene 2022</v>
      </c>
      <c r="E77" s="105">
        <f>(+'[1]inf_tasas ENE'!P72)/100</f>
        <v>0.2727380591448777</v>
      </c>
      <c r="F77" s="105">
        <f>(+'[1]inf_tasas ENE'!R72)/100</f>
        <v>0.26434371181055977</v>
      </c>
      <c r="G77" s="105">
        <f>(+'[1]inf_tasas ENE'!T72)/100</f>
        <v>0.28403192558514423</v>
      </c>
    </row>
    <row r="78" spans="2:7" x14ac:dyDescent="0.25">
      <c r="B78" s="107">
        <v>2023</v>
      </c>
      <c r="C78" s="106" t="s">
        <v>163</v>
      </c>
      <c r="D78" s="106" t="str">
        <f t="shared" si="2"/>
        <v>Dic - Feb 2023</v>
      </c>
      <c r="E78" s="105">
        <f>(+'[1]inf_tasas ENE'!P73)/100</f>
        <v>0.27313266316608581</v>
      </c>
      <c r="F78" s="105">
        <f>(+'[1]inf_tasas ENE'!R73)/100</f>
        <v>0.26070570946522753</v>
      </c>
      <c r="G78" s="105">
        <f>(+'[1]inf_tasas ENE'!T73)/100</f>
        <v>0.28993557172300599</v>
      </c>
    </row>
    <row r="79" spans="2:7" x14ac:dyDescent="0.25">
      <c r="B79" s="107">
        <v>2023</v>
      </c>
      <c r="C79" s="106" t="s">
        <v>162</v>
      </c>
      <c r="D79" s="106" t="str">
        <f t="shared" si="2"/>
        <v>Ene - Mar 2023</v>
      </c>
      <c r="E79" s="105">
        <f>(+'[1]inf_tasas ENE'!P74)/100</f>
        <v>0.27448576676904174</v>
      </c>
      <c r="F79" s="105">
        <f>(+'[1]inf_tasas ENE'!R74)/100</f>
        <v>0.26406201501200538</v>
      </c>
      <c r="G79" s="105">
        <f>(+'[1]inf_tasas ENE'!T74)/100</f>
        <v>0.28863354179028378</v>
      </c>
    </row>
    <row r="80" spans="2:7" x14ac:dyDescent="0.25">
      <c r="B80" s="107">
        <v>2023</v>
      </c>
      <c r="C80" s="106" t="s">
        <v>173</v>
      </c>
      <c r="D80" s="106" t="str">
        <f t="shared" si="2"/>
        <v>Feb - Abr 2023</v>
      </c>
      <c r="E80" s="105">
        <f>(+'[1]inf_tasas ENE'!P75)/100</f>
        <v>0.27357113273130745</v>
      </c>
      <c r="F80" s="105">
        <f>(+'[1]inf_tasas ENE'!R75)/100</f>
        <v>0.26330314683890194</v>
      </c>
      <c r="G80" s="105">
        <f>(+'[1]inf_tasas ENE'!T75)/100</f>
        <v>0.2875336853176611</v>
      </c>
    </row>
    <row r="81" spans="2:7" x14ac:dyDescent="0.25">
      <c r="B81" s="107">
        <v>2023</v>
      </c>
      <c r="C81" s="106" t="s">
        <v>172</v>
      </c>
      <c r="D81" s="106" t="str">
        <f t="shared" si="2"/>
        <v>Mar - May 2023</v>
      </c>
      <c r="E81" s="105">
        <f>(+'[1]inf_tasas ENE'!P76)/100</f>
        <v>0.27384369994648483</v>
      </c>
      <c r="F81" s="105">
        <f>(+'[1]inf_tasas ENE'!R76)/100</f>
        <v>0.26472125976924943</v>
      </c>
      <c r="G81" s="105">
        <f>(+'[1]inf_tasas ENE'!T76)/100</f>
        <v>0.28609074965718984</v>
      </c>
    </row>
    <row r="82" spans="2:7" x14ac:dyDescent="0.25">
      <c r="B82" s="107">
        <v>2023</v>
      </c>
      <c r="C82" s="106" t="s">
        <v>171</v>
      </c>
      <c r="D82" s="106" t="str">
        <f t="shared" si="2"/>
        <v>Abr - Jun 2023</v>
      </c>
      <c r="E82" s="105">
        <f>(+'[1]inf_tasas ENE'!P77)/100</f>
        <v>0.27175271827698411</v>
      </c>
      <c r="F82" s="105">
        <f>(+'[1]inf_tasas ENE'!R77)/100</f>
        <v>0.26098164313778471</v>
      </c>
      <c r="G82" s="105">
        <f>(+'[1]inf_tasas ENE'!T77)/100</f>
        <v>0.28604167770522354</v>
      </c>
    </row>
    <row r="83" spans="2:7" x14ac:dyDescent="0.25">
      <c r="B83" s="107">
        <v>2023</v>
      </c>
      <c r="C83" s="106" t="s">
        <v>170</v>
      </c>
      <c r="D83" s="106" t="str">
        <f t="shared" si="2"/>
        <v>May - Jul 2023</v>
      </c>
      <c r="E83" s="105">
        <f>(+'[1]inf_tasas ENE'!P78)/100</f>
        <v>0.2686765093625022</v>
      </c>
      <c r="F83" s="105">
        <f>(+'[1]inf_tasas ENE'!R78)/100</f>
        <v>0.25770346540959999</v>
      </c>
      <c r="G83" s="105">
        <f>(+'[1]inf_tasas ENE'!T78)/100</f>
        <v>0.28311863276021082</v>
      </c>
    </row>
    <row r="84" spans="2:7" x14ac:dyDescent="0.25">
      <c r="B84" s="107">
        <v>2023</v>
      </c>
      <c r="C84" s="106" t="s">
        <v>169</v>
      </c>
      <c r="D84" s="106" t="str">
        <f t="shared" si="2"/>
        <v>Jun - Ago 2023</v>
      </c>
      <c r="E84" s="105">
        <f>(+'[1]inf_tasas ENE'!P79)/100</f>
        <v>0.26719586667055739</v>
      </c>
      <c r="F84" s="105">
        <f>(+'[1]inf_tasas ENE'!R79)/100</f>
        <v>0.25548989692024093</v>
      </c>
      <c r="G84" s="105">
        <f>(+'[1]inf_tasas ENE'!T79)/100</f>
        <v>0.2825941160992011</v>
      </c>
    </row>
    <row r="85" spans="2:7" x14ac:dyDescent="0.25">
      <c r="B85" s="107">
        <v>2023</v>
      </c>
      <c r="C85" s="106" t="s">
        <v>168</v>
      </c>
      <c r="D85" s="106" t="str">
        <f t="shared" si="2"/>
        <v>Jul - Sep 2023</v>
      </c>
      <c r="E85" s="105">
        <f>(+'[1]inf_tasas ENE'!P80)/100</f>
        <v>0.26676177977484883</v>
      </c>
      <c r="F85" s="105">
        <f>(+'[1]inf_tasas ENE'!R80)/100</f>
        <v>0.25608711263920947</v>
      </c>
      <c r="G85" s="105">
        <f>(+'[1]inf_tasas ENE'!T80)/100</f>
        <v>0.2808225803143144</v>
      </c>
    </row>
    <row r="86" spans="2:7" x14ac:dyDescent="0.25">
      <c r="B86" s="107">
        <v>2023</v>
      </c>
      <c r="C86" s="106" t="s">
        <v>167</v>
      </c>
      <c r="D86" s="106" t="str">
        <f t="shared" si="2"/>
        <v>Ago - Oct 2023</v>
      </c>
      <c r="E86" s="105">
        <f>(+'[1]inf_tasas ENE'!P81)/100</f>
        <v>0.27040218556152207</v>
      </c>
      <c r="F86" s="105">
        <f>(+'[1]inf_tasas ENE'!R81)/100</f>
        <v>0.25807940526478873</v>
      </c>
      <c r="G86" s="105">
        <f>(+'[1]inf_tasas ENE'!T81)/100</f>
        <v>0.28659403882434131</v>
      </c>
    </row>
    <row r="87" spans="2:7" x14ac:dyDescent="0.25">
      <c r="B87" s="107">
        <v>2023</v>
      </c>
      <c r="C87" s="106" t="s">
        <v>166</v>
      </c>
      <c r="D87" s="106" t="str">
        <f t="shared" si="2"/>
        <v>Sep - Nov 2023</v>
      </c>
      <c r="E87" s="105">
        <f>(+'[1]inf_tasas ENE'!P82)/100</f>
        <v>0.27464028443840682</v>
      </c>
      <c r="F87" s="105">
        <f>(+'[1]inf_tasas ENE'!R82)/100</f>
        <v>0.26394264554816738</v>
      </c>
      <c r="G87" s="105">
        <f>(+'[1]inf_tasas ENE'!T82)/100</f>
        <v>0.28871498180014316</v>
      </c>
    </row>
    <row r="88" spans="2:7" x14ac:dyDescent="0.25">
      <c r="B88" s="107">
        <v>2023</v>
      </c>
      <c r="C88" s="106" t="s">
        <v>165</v>
      </c>
      <c r="D88" s="106" t="str">
        <f t="shared" si="2"/>
        <v>Oct - Dic 2023</v>
      </c>
      <c r="E88" s="105">
        <f>(+'[1]inf_tasas ENE'!P83)/100</f>
        <v>0.27531614419693662</v>
      </c>
      <c r="F88" s="105">
        <f>(+'[1]inf_tasas ENE'!R83)/100</f>
        <v>0.26230509776750016</v>
      </c>
      <c r="G88" s="105">
        <f>(+'[1]inf_tasas ENE'!T83)/100</f>
        <v>0.29235627827631272</v>
      </c>
    </row>
    <row r="89" spans="2:7" x14ac:dyDescent="0.25">
      <c r="B89" s="107">
        <v>2023</v>
      </c>
      <c r="C89" s="106" t="s">
        <v>164</v>
      </c>
      <c r="D89" s="106" t="str">
        <f t="shared" si="2"/>
        <v>Nov - Ene 2023</v>
      </c>
      <c r="E89" s="105">
        <f>(+'[1]inf_tasas ENE'!P84)/100</f>
        <v>0.27550895972434064</v>
      </c>
      <c r="F89" s="105">
        <f>(+'[1]inf_tasas ENE'!R84)/100</f>
        <v>0.26264968091218271</v>
      </c>
      <c r="G89" s="105">
        <f>(+'[1]inf_tasas ENE'!T84)/100</f>
        <v>0.29237423809728247</v>
      </c>
    </row>
    <row r="90" spans="2:7" x14ac:dyDescent="0.25">
      <c r="B90" s="107">
        <v>2024</v>
      </c>
      <c r="C90" s="106" t="s">
        <v>163</v>
      </c>
      <c r="D90" s="106" t="str">
        <f t="shared" si="2"/>
        <v>Dic - Feb 2024</v>
      </c>
      <c r="E90" s="105">
        <f>(+'[1]inf_tasas ENE'!P85)/100</f>
        <v>0.27378800997918984</v>
      </c>
      <c r="F90" s="105">
        <f>(+'[1]inf_tasas ENE'!R85)/100</f>
        <v>0.25975264491265743</v>
      </c>
      <c r="G90" s="105">
        <f>(+'[1]inf_tasas ENE'!T85)/100</f>
        <v>0.29241273771747633</v>
      </c>
    </row>
    <row r="91" spans="2:7" x14ac:dyDescent="0.25">
      <c r="B91" s="107">
        <v>2024</v>
      </c>
      <c r="C91" s="106" t="s">
        <v>162</v>
      </c>
      <c r="D91" s="106" t="str">
        <f t="shared" si="2"/>
        <v>Ene - Mar 2024</v>
      </c>
      <c r="E91" s="105">
        <f>(+'[1]inf_tasas ENE'!P86)/100</f>
        <v>0.28088192358267156</v>
      </c>
      <c r="F91" s="105">
        <f>(+'[1]inf_tasas ENE'!R86)/100</f>
        <v>0.2675053490446605</v>
      </c>
      <c r="G91" s="105">
        <f>(+'[1]inf_tasas ENE'!T86)/100</f>
        <v>0.29879973718747171</v>
      </c>
    </row>
    <row r="92" spans="2:7" ht="12.75" customHeight="1" x14ac:dyDescent="0.25">
      <c r="B92" s="101" t="s">
        <v>161</v>
      </c>
      <c r="C92" s="100"/>
      <c r="D92" s="100"/>
      <c r="E92" s="100"/>
      <c r="F92" s="100"/>
      <c r="G92" s="100"/>
    </row>
    <row r="93" spans="2:7" ht="12.75" customHeight="1" x14ac:dyDescent="0.25">
      <c r="B93" s="97"/>
      <c r="C93" s="97"/>
      <c r="D93" s="97"/>
    </row>
    <row r="94" spans="2:7" ht="12.75" customHeight="1" x14ac:dyDescent="0.25">
      <c r="B94" s="97"/>
      <c r="C94" s="97"/>
      <c r="D94" s="97"/>
    </row>
    <row r="95" spans="2:7" ht="12.75" customHeight="1" x14ac:dyDescent="0.25">
      <c r="B95" s="97"/>
      <c r="C95" s="97"/>
      <c r="D95" s="97"/>
    </row>
    <row r="96" spans="2:7" ht="12.75" customHeight="1" x14ac:dyDescent="0.25">
      <c r="B96" s="97"/>
      <c r="C96" s="97"/>
      <c r="D96" s="97"/>
    </row>
    <row r="97" s="97" customFormat="1" ht="12.75" customHeight="1" x14ac:dyDescent="0.25"/>
    <row r="98" s="97" customFormat="1" ht="12.75" customHeight="1" x14ac:dyDescent="0.25"/>
    <row r="99" s="97" customFormat="1" ht="12.75" customHeight="1" x14ac:dyDescent="0.25"/>
    <row r="100" s="97" customFormat="1" ht="12.75" customHeight="1" x14ac:dyDescent="0.25"/>
    <row r="101" s="97" customFormat="1" ht="12.75" customHeight="1" x14ac:dyDescent="0.25"/>
    <row r="102" s="97" customFormat="1" ht="12.75" customHeight="1" x14ac:dyDescent="0.25"/>
    <row r="103" s="97" customFormat="1" ht="12.75" customHeight="1" x14ac:dyDescent="0.25"/>
    <row r="104" s="97" customFormat="1" ht="12.75" customHeight="1" x14ac:dyDescent="0.25"/>
    <row r="105" s="97" customFormat="1" ht="12.75" customHeight="1" x14ac:dyDescent="0.25"/>
    <row r="106" s="97" customFormat="1" ht="12.75" customHeight="1" x14ac:dyDescent="0.25"/>
    <row r="107" s="97" customFormat="1" ht="12.75" customHeight="1" x14ac:dyDescent="0.25"/>
    <row r="108" s="97" customFormat="1" ht="12.75" customHeight="1" x14ac:dyDescent="0.25"/>
    <row r="109" s="97" customFormat="1" ht="12.75" customHeight="1" x14ac:dyDescent="0.25"/>
    <row r="110" s="97" customFormat="1" ht="12.75" customHeight="1" x14ac:dyDescent="0.25"/>
    <row r="111" s="97" customFormat="1" ht="12.75" customHeight="1" x14ac:dyDescent="0.25"/>
    <row r="112" s="97" customFormat="1" ht="12.75" customHeight="1" x14ac:dyDescent="0.25"/>
    <row r="113" s="97" customFormat="1" ht="12.75" customHeight="1" x14ac:dyDescent="0.25"/>
    <row r="114" s="97" customFormat="1" ht="12.75" customHeight="1" x14ac:dyDescent="0.25"/>
    <row r="115" s="97" customFormat="1" ht="12.75" customHeight="1" x14ac:dyDescent="0.25"/>
    <row r="116" s="97" customFormat="1" ht="12.75" customHeight="1" x14ac:dyDescent="0.25"/>
    <row r="117" s="97" customFormat="1" ht="12.75" customHeight="1" x14ac:dyDescent="0.25"/>
    <row r="118" s="97" customFormat="1" ht="12.75" customHeight="1" x14ac:dyDescent="0.25"/>
    <row r="119" s="97" customFormat="1" ht="12.75" customHeight="1" x14ac:dyDescent="0.25"/>
    <row r="120" s="97" customFormat="1" ht="12.75" customHeight="1" x14ac:dyDescent="0.25"/>
    <row r="121" s="97" customFormat="1" ht="12.75" customHeight="1" x14ac:dyDescent="0.25"/>
    <row r="122" s="97" customFormat="1" ht="12.75" customHeight="1" x14ac:dyDescent="0.25"/>
    <row r="123" s="97" customFormat="1" ht="12.75" customHeight="1" x14ac:dyDescent="0.25"/>
    <row r="124" s="97" customFormat="1" ht="12.75" customHeight="1" x14ac:dyDescent="0.25"/>
    <row r="125" s="97" customFormat="1" ht="12.75" customHeight="1" x14ac:dyDescent="0.25"/>
    <row r="126" s="97" customFormat="1" ht="12.75" customHeight="1" x14ac:dyDescent="0.25"/>
    <row r="127" s="97" customFormat="1" ht="12.75" customHeight="1" x14ac:dyDescent="0.25"/>
    <row r="128" s="97" customFormat="1" ht="12.75" customHeight="1" x14ac:dyDescent="0.25"/>
    <row r="129" s="97" customFormat="1" ht="12.75" customHeight="1" x14ac:dyDescent="0.25"/>
    <row r="130" s="97" customFormat="1" ht="12.75" customHeight="1" x14ac:dyDescent="0.25"/>
    <row r="131" s="97" customFormat="1" ht="12.75" customHeight="1" x14ac:dyDescent="0.25"/>
    <row r="132" s="97" customFormat="1" ht="12.75" customHeight="1" x14ac:dyDescent="0.25"/>
    <row r="133" s="97" customFormat="1" ht="12.75" customHeight="1" x14ac:dyDescent="0.25"/>
    <row r="134" s="97" customFormat="1" ht="12.75" customHeight="1" x14ac:dyDescent="0.25"/>
    <row r="135" s="97" customFormat="1" ht="12.75" customHeight="1" x14ac:dyDescent="0.25"/>
    <row r="136" s="97" customFormat="1" ht="12.75" customHeight="1" x14ac:dyDescent="0.25"/>
    <row r="137" s="97" customFormat="1" ht="12.75" customHeight="1" x14ac:dyDescent="0.25"/>
    <row r="138" s="97" customFormat="1" ht="12.75" customHeight="1" x14ac:dyDescent="0.25"/>
    <row r="139" s="97" customFormat="1" ht="12.75" customHeight="1" x14ac:dyDescent="0.25"/>
    <row r="140" s="97" customFormat="1" ht="12.75" customHeight="1" x14ac:dyDescent="0.25"/>
    <row r="141" s="97" customFormat="1" ht="12.75" customHeight="1" x14ac:dyDescent="0.25"/>
    <row r="142" s="97" customFormat="1" ht="12.75" customHeight="1" x14ac:dyDescent="0.25"/>
    <row r="143" s="97" customFormat="1" ht="12.75" customHeight="1" x14ac:dyDescent="0.25"/>
    <row r="144" s="97" customFormat="1" ht="12.75" customHeight="1" x14ac:dyDescent="0.25"/>
    <row r="145" s="97" customFormat="1" ht="12.75" customHeight="1" x14ac:dyDescent="0.25"/>
    <row r="146" s="97" customFormat="1" ht="12.75" customHeight="1" x14ac:dyDescent="0.25"/>
    <row r="147" s="97" customFormat="1" ht="12.75" customHeight="1" x14ac:dyDescent="0.25"/>
    <row r="148" s="97" customFormat="1" ht="12.75" customHeight="1" x14ac:dyDescent="0.25"/>
    <row r="149" s="97" customFormat="1" ht="12.75" customHeight="1" x14ac:dyDescent="0.25"/>
    <row r="150" s="97" customFormat="1" ht="12.75" customHeight="1" x14ac:dyDescent="0.25"/>
    <row r="151" s="97" customFormat="1" ht="12.75" customHeight="1" x14ac:dyDescent="0.25"/>
    <row r="152" s="97" customFormat="1" ht="12.75" customHeight="1" x14ac:dyDescent="0.25"/>
    <row r="153" s="97" customFormat="1" ht="12.75" customHeight="1" x14ac:dyDescent="0.25"/>
    <row r="154" s="97" customFormat="1" ht="12.75" customHeight="1" x14ac:dyDescent="0.25"/>
    <row r="155" s="97" customFormat="1" ht="12.75" customHeight="1" x14ac:dyDescent="0.25"/>
    <row r="156" s="97" customFormat="1" ht="12.75" customHeight="1" x14ac:dyDescent="0.25"/>
    <row r="157" s="97" customFormat="1" ht="12.75" customHeight="1" x14ac:dyDescent="0.25"/>
    <row r="158" s="97" customFormat="1" ht="12.75" customHeight="1" x14ac:dyDescent="0.25"/>
    <row r="159" s="97" customFormat="1" ht="12.75" customHeight="1" x14ac:dyDescent="0.25"/>
    <row r="160" s="97" customFormat="1" ht="12.75" customHeight="1" x14ac:dyDescent="0.25"/>
    <row r="161" s="97" customFormat="1" ht="12.75" customHeight="1" x14ac:dyDescent="0.25"/>
    <row r="162" s="97" customFormat="1" ht="12.75" customHeight="1" x14ac:dyDescent="0.25"/>
    <row r="163" s="97" customFormat="1" ht="12.75" customHeight="1" x14ac:dyDescent="0.25"/>
    <row r="164" s="97" customFormat="1" ht="12.75" customHeight="1" x14ac:dyDescent="0.25"/>
    <row r="165" s="97" customFormat="1" ht="12.75" customHeight="1" x14ac:dyDescent="0.25"/>
    <row r="166" s="97" customFormat="1" ht="12.75" customHeight="1" x14ac:dyDescent="0.25"/>
    <row r="167" s="97" customFormat="1" ht="12.75" customHeight="1" x14ac:dyDescent="0.25"/>
    <row r="168" s="97" customFormat="1" ht="12.75" customHeight="1" x14ac:dyDescent="0.25"/>
    <row r="169" s="97" customFormat="1" ht="12.75" customHeight="1" x14ac:dyDescent="0.25"/>
    <row r="170" s="97" customFormat="1" ht="12.75" customHeight="1" x14ac:dyDescent="0.25"/>
    <row r="171" s="97" customFormat="1" ht="12.75" customHeight="1" x14ac:dyDescent="0.25"/>
    <row r="172" s="97" customFormat="1" ht="12.75" customHeight="1" x14ac:dyDescent="0.25"/>
    <row r="173" s="97" customFormat="1" ht="12.75" customHeight="1" x14ac:dyDescent="0.25"/>
    <row r="174" s="97" customFormat="1" ht="12.75" customHeight="1" x14ac:dyDescent="0.25"/>
    <row r="175" s="97" customFormat="1" ht="12.75" customHeight="1" x14ac:dyDescent="0.25"/>
    <row r="176" s="97" customFormat="1" ht="12.75" customHeight="1" x14ac:dyDescent="0.25"/>
    <row r="177" s="97" customFormat="1" ht="12.75" customHeight="1" x14ac:dyDescent="0.25"/>
    <row r="178" s="97" customFormat="1" ht="12.75" customHeight="1" x14ac:dyDescent="0.25"/>
    <row r="179" s="97" customFormat="1" ht="12.75" customHeight="1" x14ac:dyDescent="0.25"/>
    <row r="180" s="97" customFormat="1" ht="12.75" customHeight="1" x14ac:dyDescent="0.25"/>
    <row r="181" s="97" customFormat="1" ht="12.75" customHeight="1" x14ac:dyDescent="0.25"/>
    <row r="182" s="97" customFormat="1" ht="12.75" customHeight="1" x14ac:dyDescent="0.25"/>
    <row r="183" s="97" customFormat="1" ht="12.75" customHeight="1" x14ac:dyDescent="0.25"/>
    <row r="184" s="97" customFormat="1" ht="12.75" customHeight="1" x14ac:dyDescent="0.25"/>
    <row r="185" s="97" customFormat="1" ht="12.75" customHeight="1" x14ac:dyDescent="0.25"/>
    <row r="186" s="97" customFormat="1" ht="12.75" customHeight="1" x14ac:dyDescent="0.25"/>
    <row r="187" s="97" customFormat="1" ht="12.75" customHeight="1" x14ac:dyDescent="0.25"/>
    <row r="188" s="97" customFormat="1" ht="12.75" customHeight="1" x14ac:dyDescent="0.25"/>
    <row r="189" s="97" customFormat="1" ht="12.75" customHeight="1" x14ac:dyDescent="0.25"/>
    <row r="190" s="97" customFormat="1" ht="12.75" customHeight="1" x14ac:dyDescent="0.25"/>
    <row r="191" s="97" customFormat="1" ht="12.75" customHeight="1" x14ac:dyDescent="0.25"/>
    <row r="192" s="97" customFormat="1" ht="12.75" customHeight="1" x14ac:dyDescent="0.25"/>
    <row r="193" spans="2:4" ht="12.75" customHeight="1" x14ac:dyDescent="0.25">
      <c r="B193" s="97"/>
      <c r="C193" s="97"/>
      <c r="D193" s="97"/>
    </row>
    <row r="194" spans="2:4" ht="12.75" customHeight="1" x14ac:dyDescent="0.25"/>
  </sheetData>
  <hyperlinks>
    <hyperlink ref="B8" location="índice!B7" display="SERIE: OCUPADOS POR CATEGORÍA EN LA OCUPACIÓN /1" xr:uid="{777C47A9-9214-413D-BBA8-AACEB7F0F96F}"/>
  </hyperlink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A0274-A752-4B64-966F-EF6D5E636626}">
  <sheetPr>
    <tabColor rgb="FFE9617B"/>
  </sheetPr>
  <dimension ref="A2:AE205"/>
  <sheetViews>
    <sheetView showGridLines="0" topLeftCell="A10" zoomScaleNormal="100" workbookViewId="0">
      <selection activeCell="B11" sqref="B11"/>
    </sheetView>
    <sheetView workbookViewId="1"/>
  </sheetViews>
  <sheetFormatPr baseColWidth="10" defaultColWidth="10.7109375" defaultRowHeight="12.75" x14ac:dyDescent="0.25"/>
  <cols>
    <col min="1" max="1" width="5.7109375" style="126" customWidth="1"/>
    <col min="2" max="2" width="11.28515625" style="126" customWidth="1" collapsed="1"/>
    <col min="3" max="3" width="11.42578125" style="127" customWidth="1" collapsed="1"/>
    <col min="4" max="10" width="10.7109375" style="126" collapsed="1"/>
    <col min="11" max="11" width="12.5703125" style="126" customWidth="1"/>
    <col min="12" max="12" width="11.5703125" style="126" customWidth="1"/>
    <col min="13" max="13" width="12.85546875" style="126" customWidth="1"/>
    <col min="14" max="14" width="12.5703125" style="126" customWidth="1"/>
    <col min="15" max="15" width="13.140625" style="126" customWidth="1"/>
    <col min="16" max="31" width="10.7109375" style="126"/>
    <col min="32" max="16384" width="10.7109375" style="126" collapsed="1"/>
  </cols>
  <sheetData>
    <row r="2" spans="2:18" ht="15" x14ac:dyDescent="0.25">
      <c r="B2" s="278" t="s">
        <v>514</v>
      </c>
    </row>
    <row r="4" spans="2:18" ht="231.6" customHeight="1" x14ac:dyDescent="0.25"/>
    <row r="5" spans="2:18" ht="39.6" customHeight="1" x14ac:dyDescent="0.25"/>
    <row r="6" spans="2:18" x14ac:dyDescent="0.25">
      <c r="B6" s="307" t="s">
        <v>511</v>
      </c>
    </row>
    <row r="11" spans="2:18" s="137" customFormat="1" x14ac:dyDescent="0.25">
      <c r="B11" s="266" t="s">
        <v>191</v>
      </c>
      <c r="C11" s="267"/>
      <c r="D11" s="268"/>
      <c r="E11" s="268"/>
      <c r="F11" s="268"/>
      <c r="G11" s="268"/>
      <c r="H11" s="268"/>
      <c r="I11" s="268"/>
      <c r="J11" s="268"/>
      <c r="K11" s="268"/>
    </row>
    <row r="12" spans="2:18" s="137" customFormat="1" x14ac:dyDescent="0.25">
      <c r="B12" s="269" t="s">
        <v>178</v>
      </c>
      <c r="C12" s="267"/>
      <c r="D12" s="268"/>
      <c r="E12" s="268"/>
      <c r="F12" s="268"/>
      <c r="G12" s="268"/>
      <c r="H12" s="268"/>
      <c r="I12" s="268"/>
      <c r="J12" s="268"/>
      <c r="K12" s="268"/>
    </row>
    <row r="13" spans="2:18" x14ac:dyDescent="0.25">
      <c r="B13" s="270" t="s">
        <v>190</v>
      </c>
      <c r="C13" s="134"/>
      <c r="D13" s="131"/>
      <c r="E13" s="131"/>
      <c r="F13" s="131"/>
      <c r="G13" s="131"/>
      <c r="H13" s="131"/>
      <c r="I13" s="131"/>
      <c r="J13" s="131"/>
      <c r="K13" s="131"/>
    </row>
    <row r="14" spans="2:18" ht="15" x14ac:dyDescent="0.25">
      <c r="B14" s="270"/>
      <c r="C14" s="134"/>
      <c r="D14" s="131"/>
      <c r="E14" s="131"/>
      <c r="F14" s="131"/>
      <c r="G14" s="131"/>
      <c r="H14" s="131"/>
      <c r="I14" s="131"/>
      <c r="J14" s="131"/>
      <c r="K14" s="131"/>
      <c r="L14" s="254"/>
    </row>
    <row r="15" spans="2:18" s="140" customFormat="1" ht="72" customHeight="1" x14ac:dyDescent="0.25">
      <c r="B15" s="271" t="s">
        <v>6</v>
      </c>
      <c r="C15" s="271" t="s">
        <v>176</v>
      </c>
      <c r="D15" s="279" t="s">
        <v>189</v>
      </c>
      <c r="E15" s="271" t="s">
        <v>188</v>
      </c>
      <c r="F15" s="271" t="s">
        <v>187</v>
      </c>
      <c r="G15" s="271" t="s">
        <v>186</v>
      </c>
      <c r="H15" s="271" t="s">
        <v>185</v>
      </c>
      <c r="I15" s="272" t="s">
        <v>184</v>
      </c>
      <c r="J15" s="272" t="s">
        <v>183</v>
      </c>
      <c r="K15" s="272"/>
      <c r="M15" s="142" t="s">
        <v>188</v>
      </c>
      <c r="N15" s="142" t="s">
        <v>187</v>
      </c>
      <c r="O15" s="142" t="s">
        <v>186</v>
      </c>
      <c r="P15" s="142" t="s">
        <v>185</v>
      </c>
      <c r="Q15" s="141" t="s">
        <v>184</v>
      </c>
      <c r="R15" s="141" t="s">
        <v>183</v>
      </c>
    </row>
    <row r="16" spans="2:18" x14ac:dyDescent="0.25">
      <c r="B16" s="132">
        <v>2017</v>
      </c>
      <c r="C16" s="273" t="s">
        <v>168</v>
      </c>
      <c r="D16" s="274">
        <v>2457.7855907802191</v>
      </c>
      <c r="E16" s="275">
        <v>63.694150114598102</v>
      </c>
      <c r="F16" s="275">
        <v>1156.8389196380633</v>
      </c>
      <c r="G16" s="275">
        <v>83.05541780980252</v>
      </c>
      <c r="H16" s="275">
        <v>870.05079974318346</v>
      </c>
      <c r="I16" s="275">
        <v>125.64977587961205</v>
      </c>
      <c r="J16" s="275">
        <v>158.49652759495936</v>
      </c>
      <c r="K16" s="275"/>
      <c r="L16" s="126" t="s">
        <v>487</v>
      </c>
      <c r="M16" s="138">
        <f>+E94/$D$94</f>
        <v>2.218563399045953E-2</v>
      </c>
      <c r="N16" s="138">
        <f t="shared" ref="N16:R16" si="0">+F94/$D$94</f>
        <v>0.50123126893686432</v>
      </c>
      <c r="O16" s="138">
        <f t="shared" si="0"/>
        <v>2.3681076300867392E-2</v>
      </c>
      <c r="P16" s="138">
        <f t="shared" si="0"/>
        <v>0.35092167564121118</v>
      </c>
      <c r="Q16" s="138">
        <f t="shared" si="0"/>
        <v>5.1599732203083164E-2</v>
      </c>
      <c r="R16" s="138">
        <f t="shared" si="0"/>
        <v>5.0380612927514216E-2</v>
      </c>
    </row>
    <row r="17" spans="2:14" x14ac:dyDescent="0.25">
      <c r="B17" s="132">
        <v>2017</v>
      </c>
      <c r="C17" s="273" t="s">
        <v>167</v>
      </c>
      <c r="D17" s="274">
        <v>2496.8522401309147</v>
      </c>
      <c r="E17" s="275">
        <v>58.29531491344877</v>
      </c>
      <c r="F17" s="275">
        <v>1169.0829441575368</v>
      </c>
      <c r="G17" s="275">
        <v>85.172651322043819</v>
      </c>
      <c r="H17" s="275">
        <v>902.44899618649697</v>
      </c>
      <c r="I17" s="275">
        <v>132.13657817321516</v>
      </c>
      <c r="J17" s="275">
        <v>149.71575537817347</v>
      </c>
      <c r="K17" s="275"/>
    </row>
    <row r="18" spans="2:14" x14ac:dyDescent="0.25">
      <c r="B18" s="132">
        <v>2017</v>
      </c>
      <c r="C18" s="273" t="s">
        <v>166</v>
      </c>
      <c r="D18" s="274">
        <v>2568.2049681883223</v>
      </c>
      <c r="E18" s="275">
        <v>53.421948596974794</v>
      </c>
      <c r="F18" s="275">
        <v>1169.1915461533051</v>
      </c>
      <c r="G18" s="275">
        <v>93.572150298704074</v>
      </c>
      <c r="H18" s="275">
        <v>954.78763094946544</v>
      </c>
      <c r="I18" s="275">
        <v>142.69270280449055</v>
      </c>
      <c r="J18" s="275">
        <v>154.53898938538225</v>
      </c>
      <c r="K18" s="275"/>
    </row>
    <row r="19" spans="2:14" x14ac:dyDescent="0.25">
      <c r="B19" s="132">
        <v>2017</v>
      </c>
      <c r="C19" s="273" t="s">
        <v>165</v>
      </c>
      <c r="D19" s="274">
        <v>2597.4437495761454</v>
      </c>
      <c r="E19" s="275">
        <v>53.386842923294452</v>
      </c>
      <c r="F19" s="275">
        <v>1166.1969236834684</v>
      </c>
      <c r="G19" s="275">
        <v>98.622194574886919</v>
      </c>
      <c r="H19" s="275">
        <v>987.14929813879348</v>
      </c>
      <c r="I19" s="275">
        <v>148.9243145977473</v>
      </c>
      <c r="J19" s="275">
        <v>143.16417565795473</v>
      </c>
      <c r="K19" s="275"/>
    </row>
    <row r="20" spans="2:14" x14ac:dyDescent="0.25">
      <c r="B20" s="132">
        <v>2017</v>
      </c>
      <c r="C20" s="273" t="s">
        <v>164</v>
      </c>
      <c r="D20" s="274">
        <v>2557.1017032497216</v>
      </c>
      <c r="E20" s="275">
        <v>50.755295095349638</v>
      </c>
      <c r="F20" s="275">
        <v>1124.5145590127693</v>
      </c>
      <c r="G20" s="275">
        <v>122.99839853788444</v>
      </c>
      <c r="H20" s="275">
        <v>972.24498323614637</v>
      </c>
      <c r="I20" s="275">
        <v>140.09010511909347</v>
      </c>
      <c r="J20" s="275">
        <v>146.49836224847866</v>
      </c>
      <c r="K20" s="275"/>
    </row>
    <row r="21" spans="2:14" x14ac:dyDescent="0.25">
      <c r="B21" s="132">
        <v>2018</v>
      </c>
      <c r="C21" s="276" t="s">
        <v>163</v>
      </c>
      <c r="D21" s="274">
        <v>2537.5708155710859</v>
      </c>
      <c r="E21" s="275">
        <v>49.107996698127415</v>
      </c>
      <c r="F21" s="275">
        <v>1105.3159849423062</v>
      </c>
      <c r="G21" s="275">
        <v>121.81136376252853</v>
      </c>
      <c r="H21" s="275">
        <v>987.36322284787866</v>
      </c>
      <c r="I21" s="275">
        <v>132.69101304608722</v>
      </c>
      <c r="J21" s="275">
        <v>141.28123427415801</v>
      </c>
      <c r="K21" s="275"/>
    </row>
    <row r="22" spans="2:14" x14ac:dyDescent="0.25">
      <c r="B22" s="132">
        <v>2018</v>
      </c>
      <c r="C22" s="273" t="s">
        <v>162</v>
      </c>
      <c r="D22" s="274">
        <v>2507.3737316487977</v>
      </c>
      <c r="E22" s="275">
        <v>45.606546153488743</v>
      </c>
      <c r="F22" s="275">
        <v>1113.4056231210577</v>
      </c>
      <c r="G22" s="275">
        <v>121.06659451400893</v>
      </c>
      <c r="H22" s="275">
        <v>949.18676030085248</v>
      </c>
      <c r="I22" s="275">
        <v>129.79242179202288</v>
      </c>
      <c r="J22" s="275">
        <v>148.31578576736695</v>
      </c>
      <c r="K22" s="275"/>
    </row>
    <row r="23" spans="2:14" x14ac:dyDescent="0.25">
      <c r="B23" s="132">
        <v>2018</v>
      </c>
      <c r="C23" s="273" t="s">
        <v>173</v>
      </c>
      <c r="D23" s="274">
        <v>2498.7095864684588</v>
      </c>
      <c r="E23" s="275">
        <v>40.051046524069136</v>
      </c>
      <c r="F23" s="275">
        <v>1152.0419860647598</v>
      </c>
      <c r="G23" s="275">
        <v>99.947380962013511</v>
      </c>
      <c r="H23" s="275">
        <v>935.4367230127848</v>
      </c>
      <c r="I23" s="275">
        <v>130.34325790217306</v>
      </c>
      <c r="J23" s="275">
        <v>140.88919200265812</v>
      </c>
      <c r="K23" s="275"/>
    </row>
    <row r="24" spans="2:14" x14ac:dyDescent="0.25">
      <c r="B24" s="132">
        <v>2018</v>
      </c>
      <c r="C24" s="273" t="s">
        <v>172</v>
      </c>
      <c r="D24" s="274">
        <v>2478.061454842195</v>
      </c>
      <c r="E24" s="275">
        <v>40.602985533240989</v>
      </c>
      <c r="F24" s="275">
        <v>1181.2469130179065</v>
      </c>
      <c r="G24" s="275">
        <v>95.289608560243892</v>
      </c>
      <c r="H24" s="275">
        <v>889.28628936011944</v>
      </c>
      <c r="I24" s="275">
        <v>130.88962439995225</v>
      </c>
      <c r="J24" s="275">
        <v>140.74603397073184</v>
      </c>
      <c r="K24" s="275"/>
    </row>
    <row r="25" spans="2:14" x14ac:dyDescent="0.25">
      <c r="B25" s="132">
        <v>2018</v>
      </c>
      <c r="C25" s="273" t="s">
        <v>171</v>
      </c>
      <c r="D25" s="274">
        <v>2454.361836360024</v>
      </c>
      <c r="E25" s="275">
        <v>39.713134499790812</v>
      </c>
      <c r="F25" s="275">
        <v>1154.2354819472027</v>
      </c>
      <c r="G25" s="275">
        <v>91.845470076089214</v>
      </c>
      <c r="H25" s="275">
        <v>898.92438649418148</v>
      </c>
      <c r="I25" s="275">
        <v>129.12294891022557</v>
      </c>
      <c r="J25" s="275">
        <v>140.52041443253398</v>
      </c>
      <c r="K25" s="275"/>
    </row>
    <row r="26" spans="2:14" x14ac:dyDescent="0.25">
      <c r="B26" s="132">
        <v>2018</v>
      </c>
      <c r="C26" s="273" t="s">
        <v>170</v>
      </c>
      <c r="D26" s="274">
        <v>2420.526319167594</v>
      </c>
      <c r="E26" s="275">
        <v>40.5782728252941</v>
      </c>
      <c r="F26" s="275">
        <v>1140.2612148763728</v>
      </c>
      <c r="G26" s="275">
        <v>86.264169017097998</v>
      </c>
      <c r="H26" s="275">
        <v>871.31867192077596</v>
      </c>
      <c r="I26" s="275">
        <v>135.32631814235617</v>
      </c>
      <c r="J26" s="275">
        <v>146.77767238569666</v>
      </c>
      <c r="K26" s="275"/>
    </row>
    <row r="27" spans="2:14" x14ac:dyDescent="0.25">
      <c r="B27" s="132">
        <v>2018</v>
      </c>
      <c r="C27" s="273" t="s">
        <v>169</v>
      </c>
      <c r="D27" s="274">
        <v>2410.5885814964272</v>
      </c>
      <c r="E27" s="275">
        <v>39.17880953158123</v>
      </c>
      <c r="F27" s="275">
        <v>1131.2341114038413</v>
      </c>
      <c r="G27" s="275">
        <v>81.38573634684208</v>
      </c>
      <c r="H27" s="275">
        <v>874.14932228300836</v>
      </c>
      <c r="I27" s="275">
        <v>129.8401955626656</v>
      </c>
      <c r="J27" s="275">
        <v>154.80040636848892</v>
      </c>
      <c r="K27" s="275"/>
    </row>
    <row r="28" spans="2:14" x14ac:dyDescent="0.25">
      <c r="B28" s="132">
        <v>2018</v>
      </c>
      <c r="C28" s="273" t="s">
        <v>168</v>
      </c>
      <c r="D28" s="274">
        <v>2415.7248271617777</v>
      </c>
      <c r="E28" s="275">
        <v>34.087596958398741</v>
      </c>
      <c r="F28" s="275">
        <v>1165.7684036387336</v>
      </c>
      <c r="G28" s="275">
        <v>81.222183280540563</v>
      </c>
      <c r="H28" s="275">
        <v>853.36130517364302</v>
      </c>
      <c r="I28" s="275">
        <v>130.17344576603512</v>
      </c>
      <c r="J28" s="275">
        <v>151.11189234442674</v>
      </c>
      <c r="K28" s="275"/>
      <c r="N28" s="256" t="s">
        <v>509</v>
      </c>
    </row>
    <row r="29" spans="2:14" x14ac:dyDescent="0.25">
      <c r="B29" s="132">
        <v>2018</v>
      </c>
      <c r="C29" s="273" t="s">
        <v>167</v>
      </c>
      <c r="D29" s="274">
        <v>2505.2690881861658</v>
      </c>
      <c r="E29" s="275">
        <v>45.611152410127218</v>
      </c>
      <c r="F29" s="275">
        <v>1199.7234976506975</v>
      </c>
      <c r="G29" s="275">
        <v>90.359691031173455</v>
      </c>
      <c r="H29" s="275">
        <v>885.54924909762826</v>
      </c>
      <c r="I29" s="275">
        <v>127.82962654798285</v>
      </c>
      <c r="J29" s="275">
        <v>156.19587144855657</v>
      </c>
      <c r="K29" s="275"/>
    </row>
    <row r="30" spans="2:14" x14ac:dyDescent="0.25">
      <c r="B30" s="132">
        <v>2018</v>
      </c>
      <c r="C30" s="273" t="s">
        <v>166</v>
      </c>
      <c r="D30" s="274">
        <v>2585.1542559407626</v>
      </c>
      <c r="E30" s="275">
        <v>49.847612969971138</v>
      </c>
      <c r="F30" s="275">
        <v>1231.5779828341158</v>
      </c>
      <c r="G30" s="275">
        <v>107.37638837238094</v>
      </c>
      <c r="H30" s="275">
        <v>906.11200907449165</v>
      </c>
      <c r="I30" s="275">
        <v>133.53479479928507</v>
      </c>
      <c r="J30" s="275">
        <v>156.70546789051798</v>
      </c>
      <c r="K30" s="275"/>
    </row>
    <row r="31" spans="2:14" x14ac:dyDescent="0.25">
      <c r="B31" s="132">
        <v>2018</v>
      </c>
      <c r="C31" s="273" t="s">
        <v>165</v>
      </c>
      <c r="D31" s="274">
        <v>2593.7789407825016</v>
      </c>
      <c r="E31" s="275">
        <v>58.430361567992243</v>
      </c>
      <c r="F31" s="275">
        <v>1193.0097735092831</v>
      </c>
      <c r="G31" s="275">
        <v>109.41676859107172</v>
      </c>
      <c r="H31" s="275">
        <v>942.33402826504187</v>
      </c>
      <c r="I31" s="275">
        <v>132.91045663357633</v>
      </c>
      <c r="J31" s="275">
        <v>157.67755221553668</v>
      </c>
      <c r="K31" s="275"/>
    </row>
    <row r="32" spans="2:14" x14ac:dyDescent="0.25">
      <c r="B32" s="132">
        <v>2018</v>
      </c>
      <c r="C32" s="273" t="s">
        <v>164</v>
      </c>
      <c r="D32" s="274">
        <v>2553.2013906628281</v>
      </c>
      <c r="E32" s="275">
        <v>48.464810876043472</v>
      </c>
      <c r="F32" s="275">
        <v>1183.5046885290133</v>
      </c>
      <c r="G32" s="275">
        <v>103.55120074811829</v>
      </c>
      <c r="H32" s="275">
        <v>938.94242989769202</v>
      </c>
      <c r="I32" s="275">
        <v>126.0322279124716</v>
      </c>
      <c r="J32" s="275">
        <v>152.7060326994893</v>
      </c>
      <c r="K32" s="275"/>
    </row>
    <row r="33" spans="2:11" x14ac:dyDescent="0.25">
      <c r="B33" s="132">
        <v>2019</v>
      </c>
      <c r="C33" s="276" t="s">
        <v>163</v>
      </c>
      <c r="D33" s="274">
        <v>2485.3820703407159</v>
      </c>
      <c r="E33" s="275">
        <v>47.75514629668384</v>
      </c>
      <c r="F33" s="275">
        <v>1153.9333261059585</v>
      </c>
      <c r="G33" s="275">
        <v>93.034637480640839</v>
      </c>
      <c r="H33" s="275">
        <v>926.21155782962694</v>
      </c>
      <c r="I33" s="275">
        <v>119.98652648323086</v>
      </c>
      <c r="J33" s="275">
        <v>144.46087614457471</v>
      </c>
      <c r="K33" s="275"/>
    </row>
    <row r="34" spans="2:11" x14ac:dyDescent="0.25">
      <c r="B34" s="132">
        <v>2019</v>
      </c>
      <c r="C34" s="273" t="s">
        <v>162</v>
      </c>
      <c r="D34" s="274">
        <v>2478.9833434985767</v>
      </c>
      <c r="E34" s="275">
        <v>46.246618759598469</v>
      </c>
      <c r="F34" s="275">
        <v>1181.2497458928431</v>
      </c>
      <c r="G34" s="275">
        <v>87.083163139824862</v>
      </c>
      <c r="H34" s="275">
        <v>894.12014515252872</v>
      </c>
      <c r="I34" s="275">
        <v>123.53782100403012</v>
      </c>
      <c r="J34" s="275">
        <v>146.74584954975168</v>
      </c>
      <c r="K34" s="275"/>
    </row>
    <row r="35" spans="2:11" x14ac:dyDescent="0.25">
      <c r="B35" s="132">
        <v>2019</v>
      </c>
      <c r="C35" s="273" t="s">
        <v>173</v>
      </c>
      <c r="D35" s="274">
        <v>2497.9937021217688</v>
      </c>
      <c r="E35" s="275">
        <v>51.091437181888367</v>
      </c>
      <c r="F35" s="275">
        <v>1205.7455169404843</v>
      </c>
      <c r="G35" s="275">
        <v>90.885464453938354</v>
      </c>
      <c r="H35" s="275">
        <v>880.14750695561588</v>
      </c>
      <c r="I35" s="275">
        <v>123.02069514882959</v>
      </c>
      <c r="J35" s="275">
        <v>147.10308144101199</v>
      </c>
      <c r="K35" s="275"/>
    </row>
    <row r="36" spans="2:11" x14ac:dyDescent="0.25">
      <c r="B36" s="132">
        <v>2019</v>
      </c>
      <c r="C36" s="273" t="s">
        <v>172</v>
      </c>
      <c r="D36" s="274">
        <v>2500.1111444908938</v>
      </c>
      <c r="E36" s="275">
        <v>46.571001894112136</v>
      </c>
      <c r="F36" s="275">
        <v>1215.993892976428</v>
      </c>
      <c r="G36" s="275">
        <v>97.633441217178202</v>
      </c>
      <c r="H36" s="275">
        <v>863.42876723586539</v>
      </c>
      <c r="I36" s="275">
        <v>123.92406812605628</v>
      </c>
      <c r="J36" s="275">
        <v>152.55997304125398</v>
      </c>
      <c r="K36" s="275"/>
    </row>
    <row r="37" spans="2:11" x14ac:dyDescent="0.25">
      <c r="B37" s="132">
        <v>2019</v>
      </c>
      <c r="C37" s="273" t="s">
        <v>171</v>
      </c>
      <c r="D37" s="274">
        <v>2510.6068473032474</v>
      </c>
      <c r="E37" s="275">
        <v>47.446705430546189</v>
      </c>
      <c r="F37" s="275">
        <v>1208.3884694196427</v>
      </c>
      <c r="G37" s="275">
        <v>100.03574453369356</v>
      </c>
      <c r="H37" s="275">
        <v>870.71332236201579</v>
      </c>
      <c r="I37" s="275">
        <v>132.81384521095055</v>
      </c>
      <c r="J37" s="275">
        <v>151.20876034639866</v>
      </c>
      <c r="K37" s="275"/>
    </row>
    <row r="38" spans="2:11" x14ac:dyDescent="0.25">
      <c r="B38" s="132">
        <v>2019</v>
      </c>
      <c r="C38" s="273" t="s">
        <v>170</v>
      </c>
      <c r="D38" s="274">
        <v>2504.7217459490507</v>
      </c>
      <c r="E38" s="275">
        <v>39.244316805110081</v>
      </c>
      <c r="F38" s="275">
        <v>1202.1437378142741</v>
      </c>
      <c r="G38" s="275">
        <v>95.032707569754336</v>
      </c>
      <c r="H38" s="275">
        <v>873.2568895983261</v>
      </c>
      <c r="I38" s="275">
        <v>139.39095654771282</v>
      </c>
      <c r="J38" s="275">
        <v>155.65313761387341</v>
      </c>
      <c r="K38" s="275"/>
    </row>
    <row r="39" spans="2:11" x14ac:dyDescent="0.25">
      <c r="B39" s="132">
        <v>2019</v>
      </c>
      <c r="C39" s="273" t="s">
        <v>169</v>
      </c>
      <c r="D39" s="274">
        <v>2519.8247539375111</v>
      </c>
      <c r="E39" s="275">
        <v>44.215753341446771</v>
      </c>
      <c r="F39" s="275">
        <v>1211.2691408928674</v>
      </c>
      <c r="G39" s="275">
        <v>86.297334004646515</v>
      </c>
      <c r="H39" s="275">
        <v>877.43537902472303</v>
      </c>
      <c r="I39" s="275">
        <v>146.46216623636622</v>
      </c>
      <c r="J39" s="275">
        <v>154.14498043746102</v>
      </c>
      <c r="K39" s="275"/>
    </row>
    <row r="40" spans="2:11" x14ac:dyDescent="0.25">
      <c r="B40" s="132">
        <v>2019</v>
      </c>
      <c r="C40" s="273" t="s">
        <v>168</v>
      </c>
      <c r="D40" s="274">
        <v>2529.4535208178704</v>
      </c>
      <c r="E40" s="275">
        <v>47.152020476258436</v>
      </c>
      <c r="F40" s="275">
        <v>1239.2261332456526</v>
      </c>
      <c r="G40" s="275">
        <v>83.183293123434069</v>
      </c>
      <c r="H40" s="275">
        <v>853.32237645168721</v>
      </c>
      <c r="I40" s="275">
        <v>140.8641781736099</v>
      </c>
      <c r="J40" s="275">
        <v>165.70551934722809</v>
      </c>
      <c r="K40" s="275"/>
    </row>
    <row r="41" spans="2:11" x14ac:dyDescent="0.25">
      <c r="B41" s="132">
        <v>2019</v>
      </c>
      <c r="C41" s="273" t="s">
        <v>167</v>
      </c>
      <c r="D41" s="274">
        <v>2569.0867145122343</v>
      </c>
      <c r="E41" s="275">
        <v>57.847992867833547</v>
      </c>
      <c r="F41" s="275">
        <v>1270.2131654032355</v>
      </c>
      <c r="G41" s="275">
        <v>75.318344824465711</v>
      </c>
      <c r="H41" s="275">
        <v>866.9471534644764</v>
      </c>
      <c r="I41" s="275">
        <v>143.42619442981737</v>
      </c>
      <c r="J41" s="275">
        <v>155.33386352240544</v>
      </c>
      <c r="K41" s="275"/>
    </row>
    <row r="42" spans="2:11" x14ac:dyDescent="0.25">
      <c r="B42" s="132">
        <v>2019</v>
      </c>
      <c r="C42" s="273" t="s">
        <v>166</v>
      </c>
      <c r="D42" s="274">
        <v>2631.0187132672804</v>
      </c>
      <c r="E42" s="275">
        <v>59.360745934745772</v>
      </c>
      <c r="F42" s="275">
        <v>1248.1076274484597</v>
      </c>
      <c r="G42" s="275">
        <v>74.855749562342552</v>
      </c>
      <c r="H42" s="275">
        <v>952.55248267210743</v>
      </c>
      <c r="I42" s="275">
        <v>141.428949829826</v>
      </c>
      <c r="J42" s="275">
        <v>154.71315781979894</v>
      </c>
      <c r="K42" s="275"/>
    </row>
    <row r="43" spans="2:11" x14ac:dyDescent="0.25">
      <c r="B43" s="132">
        <v>2019</v>
      </c>
      <c r="C43" s="273" t="s">
        <v>165</v>
      </c>
      <c r="D43" s="274">
        <v>2663.3207846032901</v>
      </c>
      <c r="E43" s="275">
        <v>51.12475004598766</v>
      </c>
      <c r="F43" s="275">
        <v>1259.4508664411303</v>
      </c>
      <c r="G43" s="275">
        <v>79.454075653293415</v>
      </c>
      <c r="H43" s="275">
        <v>979.30367115828881</v>
      </c>
      <c r="I43" s="275">
        <v>145.04397987164717</v>
      </c>
      <c r="J43" s="275">
        <v>148.94344143294276</v>
      </c>
      <c r="K43" s="275"/>
    </row>
    <row r="44" spans="2:11" x14ac:dyDescent="0.25">
      <c r="B44" s="132">
        <v>2019</v>
      </c>
      <c r="C44" s="273" t="s">
        <v>164</v>
      </c>
      <c r="D44" s="274">
        <v>2656.8480652767644</v>
      </c>
      <c r="E44" s="275">
        <v>51.246043567152114</v>
      </c>
      <c r="F44" s="275">
        <v>1207.3922310958155</v>
      </c>
      <c r="G44" s="275">
        <v>91.961686153785607</v>
      </c>
      <c r="H44" s="275">
        <v>1013.3462202586475</v>
      </c>
      <c r="I44" s="275">
        <v>138.91991583602203</v>
      </c>
      <c r="J44" s="275">
        <v>153.98196836534154</v>
      </c>
      <c r="K44" s="275"/>
    </row>
    <row r="45" spans="2:11" x14ac:dyDescent="0.25">
      <c r="B45" s="132">
        <v>2020</v>
      </c>
      <c r="C45" s="276" t="s">
        <v>163</v>
      </c>
      <c r="D45" s="274">
        <v>2630.5970772904197</v>
      </c>
      <c r="E45" s="275">
        <v>56.890097165340812</v>
      </c>
      <c r="F45" s="275">
        <v>1214.4449214136955</v>
      </c>
      <c r="G45" s="275">
        <v>79.689491098717866</v>
      </c>
      <c r="H45" s="275">
        <v>973.3141558342403</v>
      </c>
      <c r="I45" s="275">
        <v>149.51599128279622</v>
      </c>
      <c r="J45" s="275">
        <v>156.74242049562966</v>
      </c>
      <c r="K45" s="275"/>
    </row>
    <row r="46" spans="2:11" x14ac:dyDescent="0.25">
      <c r="B46" s="132">
        <v>2020</v>
      </c>
      <c r="C46" s="273" t="s">
        <v>162</v>
      </c>
      <c r="D46" s="274">
        <v>2580.4554917950759</v>
      </c>
      <c r="E46" s="275">
        <v>65.474579789405553</v>
      </c>
      <c r="F46" s="275">
        <v>1168.8402891007672</v>
      </c>
      <c r="G46" s="275">
        <v>74.555089766634239</v>
      </c>
      <c r="H46" s="275">
        <v>977.56599516989093</v>
      </c>
      <c r="I46" s="275">
        <v>143.24318061844454</v>
      </c>
      <c r="J46" s="275">
        <v>150.77635734993359</v>
      </c>
      <c r="K46" s="275"/>
    </row>
    <row r="47" spans="2:11" x14ac:dyDescent="0.25">
      <c r="B47" s="132">
        <v>2020</v>
      </c>
      <c r="C47" s="273" t="s">
        <v>173</v>
      </c>
      <c r="D47" s="274">
        <v>2166.5267973175592</v>
      </c>
      <c r="E47" s="275">
        <v>54.400800514210964</v>
      </c>
      <c r="F47" s="275">
        <v>1002.7809206752893</v>
      </c>
      <c r="G47" s="275">
        <v>56.064874346241233</v>
      </c>
      <c r="H47" s="275">
        <v>804.38772026227537</v>
      </c>
      <c r="I47" s="275">
        <v>134.02181091226916</v>
      </c>
      <c r="J47" s="275">
        <v>114.87067060727327</v>
      </c>
      <c r="K47" s="275"/>
    </row>
    <row r="48" spans="2:11" x14ac:dyDescent="0.25">
      <c r="B48" s="132">
        <v>2020</v>
      </c>
      <c r="C48" s="273" t="s">
        <v>172</v>
      </c>
      <c r="D48" s="274">
        <v>1754.4619247025505</v>
      </c>
      <c r="E48" s="275">
        <v>38.958752955635276</v>
      </c>
      <c r="F48" s="275">
        <v>848.31574461174671</v>
      </c>
      <c r="G48" s="275">
        <v>56.736639710425024</v>
      </c>
      <c r="H48" s="275">
        <v>624.14127306281625</v>
      </c>
      <c r="I48" s="275">
        <v>111.55465680618946</v>
      </c>
      <c r="J48" s="275">
        <v>74.754857555737857</v>
      </c>
      <c r="K48" s="275"/>
    </row>
    <row r="49" spans="2:11" x14ac:dyDescent="0.25">
      <c r="B49" s="132">
        <v>2020</v>
      </c>
      <c r="C49" s="273" t="s">
        <v>171</v>
      </c>
      <c r="D49" s="274">
        <v>1597.2254977631667</v>
      </c>
      <c r="E49" s="275">
        <v>28.548425544430547</v>
      </c>
      <c r="F49" s="275">
        <v>777.22426934418161</v>
      </c>
      <c r="G49" s="275">
        <v>58.256160150109729</v>
      </c>
      <c r="H49" s="275">
        <v>556.50928122984328</v>
      </c>
      <c r="I49" s="275">
        <v>120.94132599996429</v>
      </c>
      <c r="J49" s="275">
        <v>55.746035494637177</v>
      </c>
      <c r="K49" s="275"/>
    </row>
    <row r="50" spans="2:11" x14ac:dyDescent="0.25">
      <c r="B50" s="132">
        <v>2020</v>
      </c>
      <c r="C50" s="273" t="s">
        <v>170</v>
      </c>
      <c r="D50" s="274">
        <v>1577.6842296302432</v>
      </c>
      <c r="E50" s="275">
        <v>23.679174918915013</v>
      </c>
      <c r="F50" s="275">
        <v>767.92382823861453</v>
      </c>
      <c r="G50" s="275">
        <v>63.328912156302891</v>
      </c>
      <c r="H50" s="275">
        <v>536.6546160767972</v>
      </c>
      <c r="I50" s="275">
        <v>128.18106520522917</v>
      </c>
      <c r="J50" s="275">
        <v>57.916633034384439</v>
      </c>
      <c r="K50" s="275"/>
    </row>
    <row r="51" spans="2:11" x14ac:dyDescent="0.25">
      <c r="B51" s="132">
        <v>2020</v>
      </c>
      <c r="C51" s="273" t="s">
        <v>169</v>
      </c>
      <c r="D51" s="274">
        <v>1620.1511145605982</v>
      </c>
      <c r="E51" s="275">
        <v>21.610356545541823</v>
      </c>
      <c r="F51" s="275">
        <v>767.65648739849473</v>
      </c>
      <c r="G51" s="275">
        <v>65.592013019119975</v>
      </c>
      <c r="H51" s="275">
        <v>568.87259805042493</v>
      </c>
      <c r="I51" s="275">
        <v>131.19010048162096</v>
      </c>
      <c r="J51" s="275">
        <v>65.229559065395847</v>
      </c>
      <c r="K51" s="275"/>
    </row>
    <row r="52" spans="2:11" x14ac:dyDescent="0.25">
      <c r="B52" s="132">
        <v>2020</v>
      </c>
      <c r="C52" s="273" t="s">
        <v>168</v>
      </c>
      <c r="D52" s="274">
        <v>1729.9494253068599</v>
      </c>
      <c r="E52" s="275">
        <v>26.269768918264269</v>
      </c>
      <c r="F52" s="275">
        <v>841.04282195235089</v>
      </c>
      <c r="G52" s="275">
        <v>61.768553376991179</v>
      </c>
      <c r="H52" s="275">
        <v>599.03721491115687</v>
      </c>
      <c r="I52" s="275">
        <v>132.69000805967704</v>
      </c>
      <c r="J52" s="275">
        <v>69.141058088419442</v>
      </c>
      <c r="K52" s="275"/>
    </row>
    <row r="53" spans="2:11" x14ac:dyDescent="0.25">
      <c r="B53" s="132">
        <v>2020</v>
      </c>
      <c r="C53" s="273" t="s">
        <v>167</v>
      </c>
      <c r="D53" s="274">
        <v>1926.2743929617168</v>
      </c>
      <c r="E53" s="275">
        <v>30.496713470297262</v>
      </c>
      <c r="F53" s="275">
        <v>938.04799444043772</v>
      </c>
      <c r="G53" s="275">
        <v>67.18563793166615</v>
      </c>
      <c r="H53" s="275">
        <v>681.3137071350651</v>
      </c>
      <c r="I53" s="275">
        <v>140.56137980150004</v>
      </c>
      <c r="J53" s="275">
        <v>68.668960182750538</v>
      </c>
      <c r="K53" s="275"/>
    </row>
    <row r="54" spans="2:11" x14ac:dyDescent="0.25">
      <c r="B54" s="132">
        <v>2020</v>
      </c>
      <c r="C54" s="273" t="s">
        <v>166</v>
      </c>
      <c r="D54" s="274">
        <v>2112.2795820541578</v>
      </c>
      <c r="E54" s="275">
        <v>28.681545593170188</v>
      </c>
      <c r="F54" s="275">
        <v>1046.0537529259902</v>
      </c>
      <c r="G54" s="275">
        <v>77.664488722589269</v>
      </c>
      <c r="H54" s="275">
        <v>725.23570637520265</v>
      </c>
      <c r="I54" s="275">
        <v>157.53277334773239</v>
      </c>
      <c r="J54" s="275">
        <v>77.111315089473138</v>
      </c>
      <c r="K54" s="275"/>
    </row>
    <row r="55" spans="2:11" x14ac:dyDescent="0.25">
      <c r="B55" s="132">
        <v>2020</v>
      </c>
      <c r="C55" s="273" t="s">
        <v>165</v>
      </c>
      <c r="D55" s="274">
        <v>2165.3087541988693</v>
      </c>
      <c r="E55" s="275">
        <v>27.323963752383939</v>
      </c>
      <c r="F55" s="275">
        <v>1064.7096687199466</v>
      </c>
      <c r="G55" s="275">
        <v>81.323480913629311</v>
      </c>
      <c r="H55" s="275">
        <v>758.24402007776541</v>
      </c>
      <c r="I55" s="275">
        <v>153.98272891564918</v>
      </c>
      <c r="J55" s="275">
        <v>79.724891819494488</v>
      </c>
      <c r="K55" s="275"/>
    </row>
    <row r="56" spans="2:11" x14ac:dyDescent="0.25">
      <c r="B56" s="132">
        <v>2020</v>
      </c>
      <c r="C56" s="273" t="s">
        <v>164</v>
      </c>
      <c r="D56" s="274">
        <v>2199.6497607922897</v>
      </c>
      <c r="E56" s="275">
        <v>26.4103128829634</v>
      </c>
      <c r="F56" s="275">
        <v>1078.8390482174498</v>
      </c>
      <c r="G56" s="275">
        <v>75.364318272272342</v>
      </c>
      <c r="H56" s="275">
        <v>781.54897346832433</v>
      </c>
      <c r="I56" s="275">
        <v>148.67277271275995</v>
      </c>
      <c r="J56" s="275">
        <v>88.814335238520087</v>
      </c>
      <c r="K56" s="275"/>
    </row>
    <row r="57" spans="2:11" x14ac:dyDescent="0.25">
      <c r="B57" s="132">
        <v>2021</v>
      </c>
      <c r="C57" s="273" t="s">
        <v>163</v>
      </c>
      <c r="D57" s="274">
        <v>2161.1710806059828</v>
      </c>
      <c r="E57" s="275">
        <v>29.391804663453946</v>
      </c>
      <c r="F57" s="275">
        <v>1081.4426625284623</v>
      </c>
      <c r="G57" s="275">
        <v>71.204726570774525</v>
      </c>
      <c r="H57" s="275">
        <v>760.42287866607626</v>
      </c>
      <c r="I57" s="275">
        <v>129.26341392986001</v>
      </c>
      <c r="J57" s="275">
        <v>89.445594247355999</v>
      </c>
      <c r="K57" s="275"/>
    </row>
    <row r="58" spans="2:11" x14ac:dyDescent="0.25">
      <c r="B58" s="132">
        <v>2021</v>
      </c>
      <c r="C58" s="273" t="s">
        <v>162</v>
      </c>
      <c r="D58" s="274">
        <v>2174.5314612566599</v>
      </c>
      <c r="E58" s="275">
        <v>34.844268307388703</v>
      </c>
      <c r="F58" s="275">
        <v>1109.5034961965289</v>
      </c>
      <c r="G58" s="275">
        <v>72.144722241079904</v>
      </c>
      <c r="H58" s="275">
        <v>740.23197772948981</v>
      </c>
      <c r="I58" s="275">
        <v>126.98276637485006</v>
      </c>
      <c r="J58" s="275">
        <v>90.824230407322688</v>
      </c>
      <c r="K58" s="275"/>
    </row>
    <row r="59" spans="2:11" x14ac:dyDescent="0.25">
      <c r="B59" s="132">
        <v>2021</v>
      </c>
      <c r="C59" s="273" t="s">
        <v>173</v>
      </c>
      <c r="D59" s="274">
        <v>2123.5566906234408</v>
      </c>
      <c r="E59" s="275">
        <v>38.856287147045911</v>
      </c>
      <c r="F59" s="275">
        <v>1112.2192897808488</v>
      </c>
      <c r="G59" s="275">
        <v>74.138403969555796</v>
      </c>
      <c r="H59" s="275">
        <v>693.42040929863811</v>
      </c>
      <c r="I59" s="275">
        <v>123.42443955119457</v>
      </c>
      <c r="J59" s="275">
        <v>81.497860876157546</v>
      </c>
      <c r="K59" s="275"/>
    </row>
    <row r="60" spans="2:11" x14ac:dyDescent="0.25">
      <c r="B60" s="132">
        <v>2021</v>
      </c>
      <c r="C60" s="273" t="s">
        <v>172</v>
      </c>
      <c r="D60" s="274">
        <v>2098.4321035338521</v>
      </c>
      <c r="E60" s="275">
        <v>38.974772491464549</v>
      </c>
      <c r="F60" s="275">
        <v>1113.4604266135198</v>
      </c>
      <c r="G60" s="275">
        <v>70.0310834701408</v>
      </c>
      <c r="H60" s="275">
        <v>664.28198322760545</v>
      </c>
      <c r="I60" s="275">
        <v>129.66916439281911</v>
      </c>
      <c r="J60" s="275">
        <v>82.014673338302444</v>
      </c>
      <c r="K60" s="275"/>
    </row>
    <row r="61" spans="2:11" x14ac:dyDescent="0.25">
      <c r="B61" s="132">
        <v>2021</v>
      </c>
      <c r="C61" s="273" t="s">
        <v>171</v>
      </c>
      <c r="D61" s="274">
        <v>2087.8000405220687</v>
      </c>
      <c r="E61" s="275">
        <v>35.762687348466599</v>
      </c>
      <c r="F61" s="275">
        <v>1110.9905714802815</v>
      </c>
      <c r="G61" s="275">
        <v>62.348324109320977</v>
      </c>
      <c r="H61" s="275">
        <v>666.5100874842957</v>
      </c>
      <c r="I61" s="275">
        <v>128.90413914951677</v>
      </c>
      <c r="J61" s="275">
        <v>83.28423095018735</v>
      </c>
      <c r="K61" s="275"/>
    </row>
    <row r="62" spans="2:11" x14ac:dyDescent="0.25">
      <c r="B62" s="132">
        <v>2021</v>
      </c>
      <c r="C62" s="273" t="s">
        <v>170</v>
      </c>
      <c r="D62" s="274">
        <v>2191.3346314210894</v>
      </c>
      <c r="E62" s="275">
        <v>31.117263302646098</v>
      </c>
      <c r="F62" s="275">
        <v>1185.9329525863679</v>
      </c>
      <c r="G62" s="275">
        <v>62.499425883606122</v>
      </c>
      <c r="H62" s="275">
        <v>680.35064633981995</v>
      </c>
      <c r="I62" s="275">
        <v>141.00182536354669</v>
      </c>
      <c r="J62" s="275">
        <v>90.432517945102248</v>
      </c>
      <c r="K62" s="275"/>
    </row>
    <row r="63" spans="2:11" x14ac:dyDescent="0.25">
      <c r="B63" s="132">
        <v>2021</v>
      </c>
      <c r="C63" s="273" t="s">
        <v>169</v>
      </c>
      <c r="D63" s="274">
        <v>2240.6070051503684</v>
      </c>
      <c r="E63" s="275">
        <v>36.959395769169262</v>
      </c>
      <c r="F63" s="275">
        <v>1209.7362236052204</v>
      </c>
      <c r="G63" s="275">
        <v>57.488988246103837</v>
      </c>
      <c r="H63" s="275">
        <v>704.63217463698959</v>
      </c>
      <c r="I63" s="275">
        <v>135.67243733145543</v>
      </c>
      <c r="J63" s="275">
        <v>96.11778556142977</v>
      </c>
      <c r="K63" s="275"/>
    </row>
    <row r="64" spans="2:11" x14ac:dyDescent="0.25">
      <c r="B64" s="132">
        <v>2021</v>
      </c>
      <c r="C64" s="273" t="s">
        <v>168</v>
      </c>
      <c r="D64" s="274">
        <v>2307.3713777059961</v>
      </c>
      <c r="E64" s="275">
        <v>36.586310713530317</v>
      </c>
      <c r="F64" s="275">
        <v>1245.2504009555043</v>
      </c>
      <c r="G64" s="275">
        <v>58.609092859797009</v>
      </c>
      <c r="H64" s="275">
        <v>719.28386464503944</v>
      </c>
      <c r="I64" s="275">
        <v>146.19500230819006</v>
      </c>
      <c r="J64" s="275">
        <v>101.4467062239347</v>
      </c>
      <c r="K64" s="275"/>
    </row>
    <row r="65" spans="2:11" x14ac:dyDescent="0.25">
      <c r="B65" s="132">
        <v>2021</v>
      </c>
      <c r="C65" s="273" t="s">
        <v>167</v>
      </c>
      <c r="D65" s="274">
        <v>2361.6653507367828</v>
      </c>
      <c r="E65" s="275">
        <v>41.369858685320914</v>
      </c>
      <c r="F65" s="275">
        <v>1270.3624064745052</v>
      </c>
      <c r="G65" s="275">
        <v>63.496765801695808</v>
      </c>
      <c r="H65" s="275">
        <v>737.41457683879514</v>
      </c>
      <c r="I65" s="275">
        <v>141.26901622880092</v>
      </c>
      <c r="J65" s="275">
        <v>107.75272670766512</v>
      </c>
      <c r="K65" s="275"/>
    </row>
    <row r="66" spans="2:11" x14ac:dyDescent="0.25">
      <c r="B66" s="132">
        <v>2021</v>
      </c>
      <c r="C66" s="273" t="s">
        <v>166</v>
      </c>
      <c r="D66" s="274">
        <v>2414.5796095640503</v>
      </c>
      <c r="E66" s="275">
        <v>38.026489695839729</v>
      </c>
      <c r="F66" s="275">
        <v>1293.7628959461263</v>
      </c>
      <c r="G66" s="275">
        <v>72.738358385354516</v>
      </c>
      <c r="H66" s="275">
        <v>752.02624813498858</v>
      </c>
      <c r="I66" s="275">
        <v>148.51405795360461</v>
      </c>
      <c r="J66" s="275">
        <v>109.51155944813654</v>
      </c>
      <c r="K66" s="275"/>
    </row>
    <row r="67" spans="2:11" x14ac:dyDescent="0.25">
      <c r="B67" s="132">
        <v>2021</v>
      </c>
      <c r="C67" s="273" t="s">
        <v>165</v>
      </c>
      <c r="D67" s="274">
        <v>2454.1208283197443</v>
      </c>
      <c r="E67" s="275">
        <v>40.57103110553939</v>
      </c>
      <c r="F67" s="275">
        <v>1315.7935952027581</v>
      </c>
      <c r="G67" s="275">
        <v>79.211229471969233</v>
      </c>
      <c r="H67" s="275">
        <v>757.2613109547666</v>
      </c>
      <c r="I67" s="275">
        <v>150.03885587595198</v>
      </c>
      <c r="J67" s="275">
        <v>111.24480570875885</v>
      </c>
      <c r="K67" s="275"/>
    </row>
    <row r="68" spans="2:11" x14ac:dyDescent="0.25">
      <c r="B68" s="132">
        <v>2021</v>
      </c>
      <c r="C68" s="273" t="s">
        <v>164</v>
      </c>
      <c r="D68" s="274">
        <v>2442.56883906454</v>
      </c>
      <c r="E68" s="275">
        <v>41.1129986110221</v>
      </c>
      <c r="F68" s="275">
        <v>1283.4601845413899</v>
      </c>
      <c r="G68" s="275">
        <v>70.828768669248106</v>
      </c>
      <c r="H68" s="275">
        <v>788.839836892535</v>
      </c>
      <c r="I68" s="275">
        <v>148.177534144432</v>
      </c>
      <c r="J68" s="275">
        <v>110.149516205916</v>
      </c>
      <c r="K68" s="275"/>
    </row>
    <row r="69" spans="2:11" x14ac:dyDescent="0.25">
      <c r="B69" s="132">
        <v>2022</v>
      </c>
      <c r="C69" s="273" t="s">
        <v>163</v>
      </c>
      <c r="D69" s="274">
        <v>2438.92045334571</v>
      </c>
      <c r="E69" s="275">
        <v>42.388641197267901</v>
      </c>
      <c r="F69" s="275">
        <v>1248.09074307329</v>
      </c>
      <c r="G69" s="275">
        <v>64.346352873579207</v>
      </c>
      <c r="H69" s="275">
        <v>826.68700148670905</v>
      </c>
      <c r="I69" s="275">
        <v>144.915164397106</v>
      </c>
      <c r="J69" s="275">
        <v>112.492550317761</v>
      </c>
      <c r="K69" s="275"/>
    </row>
    <row r="70" spans="2:11" x14ac:dyDescent="0.25">
      <c r="B70" s="132">
        <v>2022</v>
      </c>
      <c r="C70" s="273" t="s">
        <v>162</v>
      </c>
      <c r="D70" s="274">
        <v>2398.8841450801001</v>
      </c>
      <c r="E70" s="275">
        <v>41.421952673428997</v>
      </c>
      <c r="F70" s="275">
        <v>1235.9771336205199</v>
      </c>
      <c r="G70" s="275">
        <v>57.5267342742209</v>
      </c>
      <c r="H70" s="275">
        <v>816.25607451931398</v>
      </c>
      <c r="I70" s="275">
        <v>135.056309235714</v>
      </c>
      <c r="J70" s="275">
        <v>112.64594075690999</v>
      </c>
      <c r="K70" s="275"/>
    </row>
    <row r="71" spans="2:11" x14ac:dyDescent="0.25">
      <c r="B71" s="132">
        <v>2022</v>
      </c>
      <c r="C71" s="273" t="s">
        <v>173</v>
      </c>
      <c r="D71" s="274">
        <v>2400.5986417897102</v>
      </c>
      <c r="E71" s="275">
        <v>40.118012402700401</v>
      </c>
      <c r="F71" s="275">
        <v>1244.7900880900499</v>
      </c>
      <c r="G71" s="275">
        <v>57.137694605715602</v>
      </c>
      <c r="H71" s="275">
        <v>795.42981267957498</v>
      </c>
      <c r="I71" s="275">
        <v>143.93291976272499</v>
      </c>
      <c r="J71" s="275">
        <v>119.190114248942</v>
      </c>
      <c r="K71" s="275"/>
    </row>
    <row r="72" spans="2:11" x14ac:dyDescent="0.25">
      <c r="B72" s="132">
        <v>2022</v>
      </c>
      <c r="C72" s="273" t="s">
        <v>172</v>
      </c>
      <c r="D72" s="274">
        <v>2421.7897313117701</v>
      </c>
      <c r="E72" s="275">
        <v>37.537652965114297</v>
      </c>
      <c r="F72" s="275">
        <v>1303.0417568791199</v>
      </c>
      <c r="G72" s="275">
        <v>58.304662717508599</v>
      </c>
      <c r="H72" s="275">
        <v>769.42591436577197</v>
      </c>
      <c r="I72" s="275">
        <v>134.99006483440999</v>
      </c>
      <c r="J72" s="275">
        <v>118.489679549844</v>
      </c>
      <c r="K72" s="275"/>
    </row>
    <row r="73" spans="2:11" x14ac:dyDescent="0.25">
      <c r="B73" s="132">
        <v>2022</v>
      </c>
      <c r="C73" s="273" t="s">
        <v>171</v>
      </c>
      <c r="D73" s="274">
        <v>2395.9331461013699</v>
      </c>
      <c r="E73" s="275">
        <v>35.556307352357003</v>
      </c>
      <c r="F73" s="275">
        <v>1271.5449815092099</v>
      </c>
      <c r="G73" s="275">
        <v>59.032075789402199</v>
      </c>
      <c r="H73" s="275">
        <v>769.01037743854499</v>
      </c>
      <c r="I73" s="275">
        <v>139.213615375995</v>
      </c>
      <c r="J73" s="275">
        <v>121.575788635864</v>
      </c>
      <c r="K73" s="275"/>
    </row>
    <row r="74" spans="2:11" x14ac:dyDescent="0.25">
      <c r="B74" s="132">
        <v>2022</v>
      </c>
      <c r="C74" s="273" t="s">
        <v>170</v>
      </c>
      <c r="D74" s="274">
        <v>2357.4987089103302</v>
      </c>
      <c r="E74" s="275">
        <v>35.895650654865698</v>
      </c>
      <c r="F74" s="275">
        <v>1247.0287692156801</v>
      </c>
      <c r="G74" s="275">
        <v>58.9355659229822</v>
      </c>
      <c r="H74" s="275">
        <v>758.72704300947805</v>
      </c>
      <c r="I74" s="275">
        <v>132.448598525346</v>
      </c>
      <c r="J74" s="275">
        <v>124.463081581976</v>
      </c>
      <c r="K74" s="275"/>
    </row>
    <row r="75" spans="2:11" x14ac:dyDescent="0.25">
      <c r="B75" s="132">
        <v>2022</v>
      </c>
      <c r="C75" s="273" t="s">
        <v>169</v>
      </c>
      <c r="D75" s="274">
        <v>2360.3891512272498</v>
      </c>
      <c r="E75" s="275">
        <v>36.424481623115803</v>
      </c>
      <c r="F75" s="275">
        <v>1249.64916416801</v>
      </c>
      <c r="G75" s="275">
        <v>58.486745945906897</v>
      </c>
      <c r="H75" s="275">
        <v>758.59110072860801</v>
      </c>
      <c r="I75" s="275">
        <v>136.127747652604</v>
      </c>
      <c r="J75" s="275">
        <v>121.109911108999</v>
      </c>
      <c r="K75" s="275"/>
    </row>
    <row r="76" spans="2:11" x14ac:dyDescent="0.25">
      <c r="B76" s="132">
        <v>2022</v>
      </c>
      <c r="C76" s="273" t="s">
        <v>168</v>
      </c>
      <c r="D76" s="274">
        <v>2393.2415721826401</v>
      </c>
      <c r="E76" s="275">
        <v>39.259998577475301</v>
      </c>
      <c r="F76" s="275">
        <v>1259.24368056295</v>
      </c>
      <c r="G76" s="275">
        <v>57.492718857227203</v>
      </c>
      <c r="H76" s="275">
        <v>778.05622422321596</v>
      </c>
      <c r="I76" s="275">
        <v>134.56922447548101</v>
      </c>
      <c r="J76" s="275">
        <v>124.619725486287</v>
      </c>
      <c r="K76" s="275"/>
    </row>
    <row r="77" spans="2:11" x14ac:dyDescent="0.25">
      <c r="B77" s="132">
        <v>2022</v>
      </c>
      <c r="C77" s="273" t="s">
        <v>167</v>
      </c>
      <c r="D77" s="274">
        <v>2453.7597901385202</v>
      </c>
      <c r="E77" s="275">
        <v>38.181270263273397</v>
      </c>
      <c r="F77" s="275">
        <v>1277.8831496421101</v>
      </c>
      <c r="G77" s="275">
        <v>61.1283139887597</v>
      </c>
      <c r="H77" s="275">
        <v>813.26057572783202</v>
      </c>
      <c r="I77" s="275">
        <v>141.20521724456299</v>
      </c>
      <c r="J77" s="275">
        <v>122.101263271986</v>
      </c>
      <c r="K77" s="275"/>
    </row>
    <row r="78" spans="2:11" x14ac:dyDescent="0.25">
      <c r="B78" s="132">
        <v>2022</v>
      </c>
      <c r="C78" s="273" t="s">
        <v>166</v>
      </c>
      <c r="D78" s="274">
        <v>2423.0300296195801</v>
      </c>
      <c r="E78" s="275">
        <v>37.555016417917599</v>
      </c>
      <c r="F78" s="275">
        <v>1224.2180443346101</v>
      </c>
      <c r="G78" s="275">
        <v>60.227888316939598</v>
      </c>
      <c r="H78" s="275">
        <v>834.74893265907997</v>
      </c>
      <c r="I78" s="275">
        <v>141.48040090176301</v>
      </c>
      <c r="J78" s="275">
        <v>124.799746989271</v>
      </c>
      <c r="K78" s="275"/>
    </row>
    <row r="79" spans="2:11" x14ac:dyDescent="0.25">
      <c r="B79" s="132">
        <v>2022</v>
      </c>
      <c r="C79" s="273" t="s">
        <v>165</v>
      </c>
      <c r="D79" s="274">
        <v>2453.56461103226</v>
      </c>
      <c r="E79" s="275">
        <v>41.793074191125498</v>
      </c>
      <c r="F79" s="275">
        <v>1239.18386112489</v>
      </c>
      <c r="G79" s="275">
        <v>68.232445705166796</v>
      </c>
      <c r="H79" s="275">
        <v>829.86635535478399</v>
      </c>
      <c r="I79" s="275">
        <v>144.74492747562701</v>
      </c>
      <c r="J79" s="275">
        <v>129.74394718066199</v>
      </c>
      <c r="K79" s="275"/>
    </row>
    <row r="80" spans="2:11" x14ac:dyDescent="0.25">
      <c r="B80" s="132">
        <v>2022</v>
      </c>
      <c r="C80" s="273" t="s">
        <v>164</v>
      </c>
      <c r="D80" s="274">
        <v>2456.97331242673</v>
      </c>
      <c r="E80" s="275">
        <v>48.534723201833998</v>
      </c>
      <c r="F80" s="275">
        <v>1226.7293808593099</v>
      </c>
      <c r="G80" s="275">
        <v>65.978822949987702</v>
      </c>
      <c r="H80" s="275">
        <v>845.92094244298505</v>
      </c>
      <c r="I80" s="275">
        <v>143.84686008644201</v>
      </c>
      <c r="J80" s="275">
        <v>125.962582886172</v>
      </c>
      <c r="K80" s="275"/>
    </row>
    <row r="81" spans="2:11" x14ac:dyDescent="0.25">
      <c r="B81" s="132">
        <v>2023</v>
      </c>
      <c r="C81" s="273" t="s">
        <v>163</v>
      </c>
      <c r="D81" s="274">
        <v>2466.4320842275602</v>
      </c>
      <c r="E81" s="275">
        <v>46.607599153519601</v>
      </c>
      <c r="F81" s="275">
        <v>1237.3805695338301</v>
      </c>
      <c r="G81" s="275">
        <v>65.579330056472003</v>
      </c>
      <c r="H81" s="275">
        <v>842.43738580375998</v>
      </c>
      <c r="I81" s="275">
        <v>151.128739893644</v>
      </c>
      <c r="J81" s="275">
        <v>123.298459786327</v>
      </c>
      <c r="K81" s="275"/>
    </row>
    <row r="82" spans="2:11" x14ac:dyDescent="0.25">
      <c r="B82" s="132">
        <v>2023</v>
      </c>
      <c r="C82" s="273" t="s">
        <v>162</v>
      </c>
      <c r="D82" s="274">
        <v>2472.0586181888698</v>
      </c>
      <c r="E82" s="275">
        <v>39.683729078310201</v>
      </c>
      <c r="F82" s="275">
        <v>1273.1810277136201</v>
      </c>
      <c r="G82" s="275">
        <v>58.810453002363403</v>
      </c>
      <c r="H82" s="275">
        <v>849.27808362596102</v>
      </c>
      <c r="I82" s="275">
        <v>140.51271539157599</v>
      </c>
      <c r="J82" s="275">
        <v>110.59260937703699</v>
      </c>
      <c r="K82" s="275"/>
    </row>
    <row r="83" spans="2:11" x14ac:dyDescent="0.25">
      <c r="B83" s="132">
        <v>2023</v>
      </c>
      <c r="C83" s="273" t="s">
        <v>173</v>
      </c>
      <c r="D83" s="274">
        <v>2463.98108596661</v>
      </c>
      <c r="E83" s="275">
        <v>36.3822360017245</v>
      </c>
      <c r="F83" s="275">
        <v>1282.9412819535801</v>
      </c>
      <c r="G83" s="275">
        <v>55.805113077636598</v>
      </c>
      <c r="H83" s="275">
        <v>837.90325707855902</v>
      </c>
      <c r="I83" s="275">
        <v>137.220178496101</v>
      </c>
      <c r="J83" s="275">
        <v>113.729019359012</v>
      </c>
      <c r="K83" s="275"/>
    </row>
    <row r="84" spans="2:11" x14ac:dyDescent="0.25">
      <c r="B84" s="132">
        <v>2023</v>
      </c>
      <c r="C84" s="273" t="s">
        <v>172</v>
      </c>
      <c r="D84" s="274">
        <v>2473.9671864820998</v>
      </c>
      <c r="E84" s="275">
        <v>42.230685816543001</v>
      </c>
      <c r="F84" s="275">
        <v>1290.6702796827401</v>
      </c>
      <c r="G84" s="275">
        <v>55.507279017081402</v>
      </c>
      <c r="H84" s="275">
        <v>833.54545459415704</v>
      </c>
      <c r="I84" s="275">
        <v>133.09103117706101</v>
      </c>
      <c r="J84" s="275">
        <v>118.92245619451801</v>
      </c>
      <c r="K84" s="275"/>
    </row>
    <row r="85" spans="2:11" x14ac:dyDescent="0.25">
      <c r="B85" s="132">
        <v>2023</v>
      </c>
      <c r="C85" s="273" t="s">
        <v>171</v>
      </c>
      <c r="D85" s="274">
        <v>2455.3167849632</v>
      </c>
      <c r="E85" s="275">
        <v>44.532359441060798</v>
      </c>
      <c r="F85" s="275">
        <v>1254.5668355796799</v>
      </c>
      <c r="G85" s="275">
        <v>54.790203730685</v>
      </c>
      <c r="H85" s="275">
        <v>835.51386116516005</v>
      </c>
      <c r="I85" s="275">
        <v>139.06743976962099</v>
      </c>
      <c r="J85" s="275">
        <v>126.84608527698801</v>
      </c>
      <c r="K85" s="275"/>
    </row>
    <row r="86" spans="2:11" x14ac:dyDescent="0.25">
      <c r="B86" s="132">
        <v>2023</v>
      </c>
      <c r="C86" s="273" t="s">
        <v>170</v>
      </c>
      <c r="D86" s="274">
        <v>2425.7854301119119</v>
      </c>
      <c r="E86" s="275">
        <v>39.843217536010279</v>
      </c>
      <c r="F86" s="275">
        <v>1249.9128509286193</v>
      </c>
      <c r="G86" s="275">
        <v>56.254677181057488</v>
      </c>
      <c r="H86" s="275">
        <v>812.67050029952793</v>
      </c>
      <c r="I86" s="275">
        <v>139.7615537296343</v>
      </c>
      <c r="J86" s="275">
        <v>127.34263043706297</v>
      </c>
      <c r="K86" s="275"/>
    </row>
    <row r="87" spans="2:11" x14ac:dyDescent="0.25">
      <c r="B87" s="132">
        <v>2023</v>
      </c>
      <c r="C87" s="273" t="s">
        <v>169</v>
      </c>
      <c r="D87" s="274">
        <v>2406.2171013778593</v>
      </c>
      <c r="E87" s="275">
        <v>34.249710302296805</v>
      </c>
      <c r="F87" s="275">
        <v>1238.477959836358</v>
      </c>
      <c r="G87" s="275">
        <v>58.408807984335155</v>
      </c>
      <c r="H87" s="275">
        <v>812.20004567047454</v>
      </c>
      <c r="I87" s="275">
        <v>144.8336568354197</v>
      </c>
      <c r="J87" s="275">
        <v>118.04692074897477</v>
      </c>
      <c r="K87" s="275"/>
    </row>
    <row r="88" spans="2:11" x14ac:dyDescent="0.25">
      <c r="B88" s="132">
        <v>2023</v>
      </c>
      <c r="C88" s="273" t="s">
        <v>168</v>
      </c>
      <c r="D88" s="274">
        <v>2407.1121654367057</v>
      </c>
      <c r="E88" s="275">
        <v>33.275771471477654</v>
      </c>
      <c r="F88" s="275">
        <v>1256.8397913190886</v>
      </c>
      <c r="G88" s="275">
        <v>58.701826948463221</v>
      </c>
      <c r="H88" s="275">
        <v>801.64594536989978</v>
      </c>
      <c r="I88" s="275">
        <v>141.95678919298152</v>
      </c>
      <c r="J88" s="275">
        <v>114.69204113479464</v>
      </c>
      <c r="K88" s="275"/>
    </row>
    <row r="89" spans="2:11" x14ac:dyDescent="0.25">
      <c r="B89" s="132">
        <v>2023</v>
      </c>
      <c r="C89" s="273" t="s">
        <v>167</v>
      </c>
      <c r="D89" s="274">
        <v>2447.9479417388279</v>
      </c>
      <c r="E89" s="275">
        <v>38.344430425448664</v>
      </c>
      <c r="F89" s="275">
        <v>1272.341473512532</v>
      </c>
      <c r="G89" s="275">
        <v>61.146346528711156</v>
      </c>
      <c r="H89" s="275">
        <v>811.42385918341438</v>
      </c>
      <c r="I89" s="275">
        <v>149.8543593419443</v>
      </c>
      <c r="J89" s="275">
        <v>114.83747274677744</v>
      </c>
      <c r="K89" s="275"/>
    </row>
    <row r="90" spans="2:11" x14ac:dyDescent="0.25">
      <c r="B90" s="132">
        <v>2023</v>
      </c>
      <c r="C90" s="273" t="s">
        <v>166</v>
      </c>
      <c r="D90" s="274">
        <v>2509.7773676556862</v>
      </c>
      <c r="E90" s="275">
        <v>40.379474503518402</v>
      </c>
      <c r="F90" s="275">
        <v>1314.6147499392821</v>
      </c>
      <c r="G90" s="275">
        <v>60.529247391163992</v>
      </c>
      <c r="H90" s="275">
        <v>831.28364681353185</v>
      </c>
      <c r="I90" s="275">
        <v>138.16181304821848</v>
      </c>
      <c r="J90" s="275">
        <v>124.80843595997105</v>
      </c>
      <c r="K90" s="275"/>
    </row>
    <row r="91" spans="2:11" x14ac:dyDescent="0.25">
      <c r="B91" s="132">
        <v>2023</v>
      </c>
      <c r="C91" s="273" t="s">
        <v>165</v>
      </c>
      <c r="D91" s="274">
        <v>2539.277939221924</v>
      </c>
      <c r="E91" s="275">
        <v>45.872334301481345</v>
      </c>
      <c r="F91" s="275">
        <v>1304.6765090588563</v>
      </c>
      <c r="G91" s="275">
        <v>64.97882270905437</v>
      </c>
      <c r="H91" s="275">
        <v>853.89350308509188</v>
      </c>
      <c r="I91" s="275">
        <v>138.34705098936493</v>
      </c>
      <c r="J91" s="275">
        <v>131.50971907807539</v>
      </c>
      <c r="K91" s="275"/>
    </row>
    <row r="92" spans="2:11" x14ac:dyDescent="0.25">
      <c r="B92" s="132">
        <v>2023</v>
      </c>
      <c r="C92" s="273" t="s">
        <v>164</v>
      </c>
      <c r="D92" s="274">
        <v>2554.9120597958276</v>
      </c>
      <c r="E92" s="275">
        <v>44.556568260893499</v>
      </c>
      <c r="F92" s="275">
        <v>1286.4353849305376</v>
      </c>
      <c r="G92" s="275">
        <v>65.972583543281019</v>
      </c>
      <c r="H92" s="275">
        <v>897.87184016595495</v>
      </c>
      <c r="I92" s="275">
        <v>128.33368375376432</v>
      </c>
      <c r="J92" s="275">
        <v>131.74199914139615</v>
      </c>
      <c r="K92" s="275"/>
    </row>
    <row r="93" spans="2:11" x14ac:dyDescent="0.25">
      <c r="B93" s="132">
        <v>2024</v>
      </c>
      <c r="C93" s="273" t="s">
        <v>163</v>
      </c>
      <c r="D93" s="274">
        <v>2548.8590738379344</v>
      </c>
      <c r="E93" s="275">
        <v>46.780402521231942</v>
      </c>
      <c r="F93" s="275">
        <v>1262.236452246651</v>
      </c>
      <c r="G93" s="275">
        <v>64.270361261682737</v>
      </c>
      <c r="H93" s="275">
        <v>918.85867114144844</v>
      </c>
      <c r="I93" s="275">
        <v>127.81023265555575</v>
      </c>
      <c r="J93" s="275">
        <v>128.90295401136456</v>
      </c>
      <c r="K93" s="275"/>
    </row>
    <row r="94" spans="2:11" x14ac:dyDescent="0.25">
      <c r="B94" s="132">
        <v>2024</v>
      </c>
      <c r="C94" s="273" t="s">
        <v>162</v>
      </c>
      <c r="D94" s="274">
        <v>2614.6412648517235</v>
      </c>
      <c r="E94" s="275">
        <v>58.007474118352491</v>
      </c>
      <c r="F94" s="275">
        <v>1310.5399589963174</v>
      </c>
      <c r="G94" s="275">
        <v>61.917519292350093</v>
      </c>
      <c r="H94" s="275">
        <v>917.53429386242271</v>
      </c>
      <c r="I94" s="275">
        <v>134.91478907347957</v>
      </c>
      <c r="J94" s="275">
        <v>131.72722950880086</v>
      </c>
      <c r="K94" s="275"/>
    </row>
    <row r="95" spans="2:11" s="137" customFormat="1" x14ac:dyDescent="0.25">
      <c r="B95" s="269" t="s">
        <v>161</v>
      </c>
      <c r="C95" s="267"/>
      <c r="D95" s="277"/>
      <c r="E95" s="268"/>
      <c r="F95" s="268"/>
      <c r="G95" s="268"/>
      <c r="H95" s="268"/>
      <c r="I95" s="268"/>
      <c r="J95" s="277"/>
      <c r="K95" s="277"/>
    </row>
    <row r="96" spans="2:11" x14ac:dyDescent="0.25">
      <c r="B96" s="131"/>
      <c r="C96" s="134"/>
      <c r="D96" s="131"/>
      <c r="E96" s="131"/>
      <c r="F96" s="131"/>
      <c r="G96" s="131"/>
      <c r="H96" s="131"/>
      <c r="I96" s="131"/>
      <c r="J96" s="131"/>
      <c r="K96" s="131"/>
    </row>
    <row r="97" spans="2:11" x14ac:dyDescent="0.25">
      <c r="B97" s="270" t="s">
        <v>182</v>
      </c>
      <c r="C97" s="134"/>
      <c r="D97" s="131"/>
      <c r="E97" s="131"/>
      <c r="F97" s="131"/>
      <c r="G97" s="131"/>
      <c r="H97" s="131"/>
      <c r="I97" s="131"/>
      <c r="J97" s="131"/>
      <c r="K97" s="131"/>
    </row>
    <row r="98" spans="2:11" x14ac:dyDescent="0.25">
      <c r="B98" s="270" t="s">
        <v>181</v>
      </c>
      <c r="C98" s="134"/>
      <c r="D98" s="131"/>
      <c r="E98" s="131"/>
      <c r="F98" s="131"/>
      <c r="G98" s="131"/>
      <c r="H98" s="131"/>
      <c r="I98" s="131"/>
      <c r="J98" s="131"/>
      <c r="K98" s="131"/>
    </row>
    <row r="99" spans="2:11" x14ac:dyDescent="0.25">
      <c r="B99" s="270" t="s">
        <v>180</v>
      </c>
      <c r="C99" s="134"/>
      <c r="D99" s="131"/>
      <c r="E99" s="131"/>
      <c r="F99" s="131"/>
      <c r="G99" s="131"/>
      <c r="H99" s="131"/>
      <c r="I99" s="131"/>
      <c r="J99" s="131"/>
      <c r="K99" s="131"/>
    </row>
    <row r="100" spans="2:11" x14ac:dyDescent="0.25">
      <c r="B100" s="131"/>
      <c r="C100" s="134"/>
      <c r="D100" s="131"/>
      <c r="E100" s="131"/>
      <c r="F100" s="131"/>
      <c r="G100" s="131"/>
      <c r="H100" s="131"/>
      <c r="I100" s="131"/>
      <c r="J100" s="131"/>
      <c r="K100" s="131"/>
    </row>
    <row r="101" spans="2:11" x14ac:dyDescent="0.25">
      <c r="B101" s="270" t="s">
        <v>160</v>
      </c>
      <c r="C101" s="134"/>
      <c r="D101" s="131"/>
      <c r="E101" s="131"/>
      <c r="F101" s="131"/>
      <c r="G101" s="131"/>
      <c r="H101" s="131"/>
      <c r="I101" s="131"/>
      <c r="J101" s="131"/>
      <c r="K101" s="131"/>
    </row>
    <row r="102" spans="2:11" x14ac:dyDescent="0.25">
      <c r="B102" s="270" t="s">
        <v>159</v>
      </c>
      <c r="C102" s="134"/>
      <c r="D102" s="131"/>
      <c r="E102" s="131"/>
      <c r="F102" s="131"/>
      <c r="G102" s="131"/>
      <c r="H102" s="131"/>
      <c r="I102" s="131"/>
      <c r="J102" s="131"/>
      <c r="K102" s="131"/>
    </row>
    <row r="103" spans="2:11" ht="15" customHeight="1" x14ac:dyDescent="0.25">
      <c r="B103" s="131"/>
      <c r="C103" s="134"/>
      <c r="D103" s="131"/>
      <c r="E103" s="131"/>
      <c r="F103" s="131"/>
      <c r="G103" s="131"/>
      <c r="H103" s="131"/>
      <c r="I103" s="131"/>
      <c r="J103" s="131"/>
      <c r="K103" s="131"/>
    </row>
    <row r="104" spans="2:11" ht="15" customHeight="1" x14ac:dyDescent="0.25">
      <c r="B104" s="131"/>
      <c r="C104" s="134"/>
      <c r="D104" s="131"/>
      <c r="E104" s="131"/>
      <c r="F104" s="131"/>
      <c r="G104" s="131"/>
      <c r="H104" s="131"/>
      <c r="I104" s="131"/>
      <c r="J104" s="131"/>
      <c r="K104" s="131"/>
    </row>
    <row r="105" spans="2:11" ht="15" customHeight="1" x14ac:dyDescent="0.25">
      <c r="B105" s="131"/>
      <c r="C105" s="134"/>
      <c r="D105" s="131"/>
      <c r="E105" s="131"/>
      <c r="F105" s="131"/>
      <c r="G105" s="131"/>
      <c r="H105" s="131"/>
      <c r="I105" s="131"/>
      <c r="J105" s="131"/>
      <c r="K105" s="131"/>
    </row>
    <row r="106" spans="2:11" ht="15" customHeight="1" x14ac:dyDescent="0.25">
      <c r="B106" s="131"/>
      <c r="C106" s="134"/>
      <c r="D106" s="131"/>
      <c r="E106" s="131"/>
      <c r="F106" s="131"/>
      <c r="G106" s="131"/>
      <c r="H106" s="131"/>
      <c r="I106" s="131"/>
      <c r="J106" s="131"/>
      <c r="K106" s="131"/>
    </row>
    <row r="107" spans="2:11" ht="15" customHeight="1" x14ac:dyDescent="0.25">
      <c r="B107" s="131"/>
      <c r="C107" s="134"/>
      <c r="D107" s="131"/>
      <c r="E107" s="131"/>
      <c r="F107" s="131"/>
      <c r="G107" s="131"/>
      <c r="H107" s="131"/>
      <c r="I107" s="131"/>
      <c r="J107" s="131"/>
      <c r="K107" s="131"/>
    </row>
    <row r="108" spans="2:11" ht="15" customHeight="1" x14ac:dyDescent="0.25">
      <c r="B108" s="131"/>
      <c r="C108" s="134"/>
      <c r="D108" s="131"/>
      <c r="E108" s="131"/>
      <c r="F108" s="131"/>
      <c r="G108" s="131"/>
      <c r="H108" s="131"/>
      <c r="I108" s="131"/>
      <c r="J108" s="131"/>
      <c r="K108" s="131"/>
    </row>
    <row r="109" spans="2:11" ht="15" customHeight="1" x14ac:dyDescent="0.25">
      <c r="B109" s="131"/>
      <c r="C109" s="134"/>
      <c r="D109" s="131"/>
      <c r="E109" s="131"/>
      <c r="F109" s="131"/>
      <c r="G109" s="131"/>
      <c r="H109" s="131"/>
      <c r="I109" s="131"/>
      <c r="J109" s="131"/>
      <c r="K109" s="131"/>
    </row>
    <row r="110" spans="2:11" ht="15" customHeight="1" x14ac:dyDescent="0.25">
      <c r="B110" s="131"/>
      <c r="C110" s="134"/>
      <c r="D110" s="131"/>
      <c r="E110" s="131"/>
      <c r="F110" s="131"/>
      <c r="G110" s="131"/>
      <c r="H110" s="131"/>
      <c r="I110" s="131"/>
      <c r="J110" s="131"/>
      <c r="K110" s="131"/>
    </row>
    <row r="111" spans="2:11" ht="15" customHeight="1" x14ac:dyDescent="0.25">
      <c r="B111" s="131"/>
      <c r="C111" s="134"/>
      <c r="D111" s="131"/>
      <c r="E111" s="131"/>
      <c r="F111" s="131"/>
      <c r="G111" s="131"/>
      <c r="H111" s="131"/>
      <c r="I111" s="131"/>
      <c r="J111" s="131"/>
      <c r="K111" s="131"/>
    </row>
    <row r="112" spans="2:11" ht="15" customHeight="1" x14ac:dyDescent="0.25">
      <c r="B112" s="131"/>
      <c r="C112" s="134"/>
      <c r="D112" s="131"/>
      <c r="E112" s="131"/>
      <c r="F112" s="131"/>
      <c r="G112" s="131"/>
      <c r="H112" s="131"/>
      <c r="I112" s="131"/>
      <c r="J112" s="131"/>
      <c r="K112" s="131"/>
    </row>
    <row r="113" spans="2:11" ht="15" customHeight="1" x14ac:dyDescent="0.25">
      <c r="B113" s="131"/>
      <c r="C113" s="134"/>
      <c r="D113" s="131"/>
      <c r="E113" s="131"/>
      <c r="F113" s="131"/>
      <c r="G113" s="131"/>
      <c r="H113" s="131"/>
      <c r="I113" s="131"/>
      <c r="J113" s="131"/>
      <c r="K113" s="131"/>
    </row>
    <row r="114" spans="2:11" ht="15" customHeight="1" x14ac:dyDescent="0.25">
      <c r="B114" s="131"/>
      <c r="C114" s="134"/>
      <c r="D114" s="131"/>
      <c r="E114" s="131"/>
      <c r="F114" s="131"/>
      <c r="G114" s="131"/>
      <c r="H114" s="131"/>
      <c r="I114" s="131"/>
      <c r="J114" s="131"/>
      <c r="K114" s="131"/>
    </row>
    <row r="115" spans="2:11" ht="15" customHeight="1" x14ac:dyDescent="0.25">
      <c r="B115" s="131"/>
      <c r="C115" s="134"/>
      <c r="D115" s="131"/>
      <c r="E115" s="131"/>
      <c r="F115" s="131"/>
      <c r="G115" s="131"/>
      <c r="H115" s="131"/>
      <c r="I115" s="131"/>
      <c r="J115" s="131"/>
      <c r="K115" s="131"/>
    </row>
    <row r="116" spans="2:11" ht="15" customHeight="1" x14ac:dyDescent="0.25">
      <c r="B116" s="131"/>
      <c r="C116" s="134"/>
      <c r="D116" s="131"/>
      <c r="E116" s="131"/>
      <c r="F116" s="131"/>
      <c r="G116" s="131"/>
      <c r="H116" s="131"/>
      <c r="I116" s="131"/>
      <c r="J116" s="131"/>
      <c r="K116" s="131"/>
    </row>
    <row r="117" spans="2:11" ht="15" customHeight="1" x14ac:dyDescent="0.25">
      <c r="B117" s="131"/>
      <c r="C117" s="134"/>
      <c r="D117" s="131"/>
      <c r="E117" s="131"/>
      <c r="F117" s="131"/>
      <c r="G117" s="131"/>
      <c r="H117" s="131"/>
      <c r="I117" s="131"/>
      <c r="J117" s="131"/>
      <c r="K117" s="131"/>
    </row>
    <row r="118" spans="2:11" ht="15" customHeight="1" x14ac:dyDescent="0.25">
      <c r="B118" s="131"/>
      <c r="C118" s="134"/>
      <c r="D118" s="131"/>
      <c r="E118" s="131"/>
      <c r="F118" s="131"/>
      <c r="G118" s="131"/>
      <c r="H118" s="131"/>
      <c r="I118" s="131"/>
      <c r="J118" s="131"/>
      <c r="K118" s="131"/>
    </row>
    <row r="119" spans="2:11" ht="15" customHeight="1" x14ac:dyDescent="0.25">
      <c r="B119" s="135"/>
      <c r="C119" s="134"/>
      <c r="D119" s="131"/>
      <c r="E119" s="131"/>
      <c r="F119" s="131"/>
      <c r="G119" s="131"/>
      <c r="H119" s="131"/>
      <c r="I119" s="131"/>
      <c r="J119" s="131"/>
      <c r="K119" s="131"/>
    </row>
    <row r="120" spans="2:11" ht="15" customHeight="1" x14ac:dyDescent="0.25">
      <c r="B120" s="135"/>
      <c r="C120" s="134"/>
      <c r="D120" s="131"/>
      <c r="E120" s="131"/>
      <c r="F120" s="131"/>
      <c r="G120" s="131"/>
      <c r="H120" s="131"/>
      <c r="I120" s="131"/>
      <c r="J120" s="131"/>
      <c r="K120" s="131"/>
    </row>
    <row r="121" spans="2:11" ht="15" customHeight="1" x14ac:dyDescent="0.25">
      <c r="B121" s="135"/>
      <c r="C121" s="134"/>
      <c r="D121" s="131"/>
      <c r="E121" s="131"/>
      <c r="F121" s="131"/>
      <c r="G121" s="131"/>
      <c r="H121" s="131"/>
      <c r="I121" s="131"/>
      <c r="J121" s="131"/>
      <c r="K121" s="131"/>
    </row>
    <row r="122" spans="2:11" ht="15" customHeight="1" x14ac:dyDescent="0.25">
      <c r="B122" s="135"/>
      <c r="C122" s="134"/>
      <c r="D122" s="131"/>
      <c r="E122" s="131"/>
      <c r="F122" s="131"/>
      <c r="G122" s="131"/>
      <c r="H122" s="131"/>
      <c r="I122" s="131"/>
      <c r="J122" s="131"/>
      <c r="K122" s="131"/>
    </row>
    <row r="123" spans="2:11" ht="15" customHeight="1" x14ac:dyDescent="0.25">
      <c r="B123" s="135"/>
      <c r="C123" s="134"/>
      <c r="D123" s="131"/>
      <c r="E123" s="131"/>
      <c r="F123" s="131"/>
      <c r="G123" s="131"/>
      <c r="H123" s="131"/>
      <c r="I123" s="131"/>
      <c r="J123" s="131"/>
      <c r="K123" s="131"/>
    </row>
    <row r="124" spans="2:11" ht="15" customHeight="1" x14ac:dyDescent="0.25">
      <c r="B124" s="135"/>
      <c r="C124" s="134"/>
      <c r="D124" s="131"/>
      <c r="E124" s="131"/>
      <c r="F124" s="131"/>
      <c r="G124" s="131"/>
      <c r="H124" s="131"/>
      <c r="I124" s="131"/>
      <c r="J124" s="131"/>
      <c r="K124" s="131"/>
    </row>
    <row r="125" spans="2:11" ht="15" customHeight="1" x14ac:dyDescent="0.25">
      <c r="B125" s="135"/>
      <c r="C125" s="134"/>
      <c r="D125" s="131"/>
      <c r="E125" s="131"/>
      <c r="F125" s="131"/>
      <c r="G125" s="131"/>
      <c r="H125" s="131"/>
      <c r="I125" s="131"/>
      <c r="J125" s="131"/>
      <c r="K125" s="131"/>
    </row>
    <row r="126" spans="2:11" ht="15" customHeight="1" x14ac:dyDescent="0.25">
      <c r="B126" s="135"/>
      <c r="C126" s="134"/>
      <c r="D126" s="131"/>
      <c r="E126" s="131"/>
      <c r="F126" s="131"/>
      <c r="G126" s="131"/>
      <c r="H126" s="131"/>
      <c r="I126" s="131"/>
      <c r="J126" s="131"/>
      <c r="K126" s="131"/>
    </row>
    <row r="127" spans="2:11" ht="15" customHeight="1" x14ac:dyDescent="0.25">
      <c r="B127" s="135"/>
      <c r="C127" s="134"/>
      <c r="D127" s="131"/>
      <c r="E127" s="131"/>
      <c r="F127" s="131"/>
      <c r="G127" s="131"/>
      <c r="H127" s="131"/>
      <c r="I127" s="131"/>
      <c r="J127" s="131"/>
      <c r="K127" s="131"/>
    </row>
    <row r="128" spans="2:11" ht="15" customHeight="1" x14ac:dyDescent="0.25">
      <c r="B128" s="135"/>
      <c r="C128" s="134"/>
      <c r="D128" s="131"/>
      <c r="E128" s="131"/>
      <c r="F128" s="131"/>
      <c r="G128" s="131"/>
      <c r="H128" s="131"/>
      <c r="I128" s="131"/>
      <c r="J128" s="131"/>
      <c r="K128" s="131"/>
    </row>
    <row r="129" spans="2:11" ht="15" customHeight="1" x14ac:dyDescent="0.25">
      <c r="B129" s="135"/>
      <c r="C129" s="134"/>
      <c r="D129" s="131"/>
      <c r="E129" s="131"/>
      <c r="F129" s="131"/>
      <c r="G129" s="131"/>
      <c r="H129" s="131"/>
      <c r="I129" s="131"/>
      <c r="J129" s="131"/>
      <c r="K129" s="131"/>
    </row>
    <row r="130" spans="2:11" ht="15" customHeight="1" x14ac:dyDescent="0.25">
      <c r="B130" s="135"/>
      <c r="C130" s="134"/>
      <c r="D130" s="131"/>
      <c r="E130" s="131"/>
      <c r="F130" s="131"/>
      <c r="G130" s="131"/>
      <c r="H130" s="131"/>
      <c r="I130" s="131"/>
      <c r="J130" s="131"/>
      <c r="K130" s="131"/>
    </row>
    <row r="131" spans="2:11" ht="15" customHeight="1" x14ac:dyDescent="0.25">
      <c r="B131" s="135"/>
      <c r="C131" s="134"/>
      <c r="D131" s="131"/>
      <c r="E131" s="131"/>
      <c r="F131" s="131"/>
      <c r="G131" s="131"/>
      <c r="H131" s="131"/>
      <c r="I131" s="131"/>
      <c r="J131" s="131"/>
      <c r="K131" s="131"/>
    </row>
    <row r="132" spans="2:11" ht="15" customHeight="1" x14ac:dyDescent="0.25">
      <c r="B132" s="135"/>
      <c r="C132" s="134"/>
      <c r="D132" s="131"/>
      <c r="E132" s="131"/>
      <c r="F132" s="131"/>
      <c r="G132" s="131"/>
      <c r="H132" s="131"/>
      <c r="I132" s="131"/>
      <c r="J132" s="131"/>
      <c r="K132" s="131"/>
    </row>
    <row r="133" spans="2:11" ht="15" customHeight="1" x14ac:dyDescent="0.25">
      <c r="B133" s="135"/>
      <c r="C133" s="134"/>
      <c r="D133" s="131"/>
      <c r="E133" s="131"/>
      <c r="F133" s="131"/>
      <c r="G133" s="131"/>
      <c r="H133" s="131"/>
      <c r="I133" s="131"/>
      <c r="J133" s="131"/>
      <c r="K133" s="131"/>
    </row>
    <row r="134" spans="2:11" ht="15" customHeight="1" x14ac:dyDescent="0.25">
      <c r="B134" s="135"/>
      <c r="C134" s="134"/>
      <c r="D134" s="131"/>
      <c r="E134" s="131"/>
      <c r="F134" s="131"/>
      <c r="G134" s="131"/>
      <c r="H134" s="131"/>
      <c r="I134" s="131"/>
      <c r="J134" s="131"/>
      <c r="K134" s="131"/>
    </row>
    <row r="135" spans="2:11" ht="15" customHeight="1" x14ac:dyDescent="0.25">
      <c r="B135" s="135"/>
      <c r="C135" s="134"/>
      <c r="D135" s="131"/>
      <c r="E135" s="131"/>
      <c r="F135" s="131"/>
      <c r="G135" s="131"/>
      <c r="H135" s="131"/>
      <c r="I135" s="131"/>
      <c r="J135" s="131"/>
      <c r="K135" s="131"/>
    </row>
    <row r="136" spans="2:11" ht="15" customHeight="1" x14ac:dyDescent="0.25">
      <c r="B136" s="135"/>
      <c r="C136" s="134"/>
      <c r="D136" s="136"/>
      <c r="E136" s="136"/>
      <c r="F136" s="136"/>
      <c r="G136" s="136"/>
      <c r="H136" s="136"/>
      <c r="I136" s="136"/>
      <c r="J136" s="136"/>
      <c r="K136" s="136"/>
    </row>
    <row r="137" spans="2:11" ht="15" customHeight="1" x14ac:dyDescent="0.25">
      <c r="B137" s="135"/>
      <c r="C137" s="134"/>
      <c r="D137" s="131"/>
      <c r="E137" s="131"/>
      <c r="F137" s="131"/>
      <c r="G137" s="131"/>
      <c r="H137" s="131"/>
      <c r="I137" s="131"/>
      <c r="J137" s="131"/>
      <c r="K137" s="131"/>
    </row>
    <row r="138" spans="2:11" ht="15" customHeight="1" x14ac:dyDescent="0.25">
      <c r="B138" s="135"/>
      <c r="C138" s="134"/>
      <c r="D138" s="131"/>
      <c r="E138" s="131"/>
      <c r="F138" s="131"/>
      <c r="G138" s="131"/>
      <c r="H138" s="131"/>
      <c r="I138" s="131"/>
      <c r="J138" s="131"/>
      <c r="K138" s="131"/>
    </row>
    <row r="139" spans="2:11" ht="15" customHeight="1" x14ac:dyDescent="0.25">
      <c r="B139" s="135"/>
      <c r="C139" s="134"/>
      <c r="D139" s="131"/>
      <c r="E139" s="131"/>
      <c r="F139" s="131"/>
      <c r="G139" s="131"/>
      <c r="H139" s="131"/>
      <c r="I139" s="131"/>
      <c r="J139" s="131"/>
      <c r="K139" s="131"/>
    </row>
    <row r="140" spans="2:11" ht="15" customHeight="1" x14ac:dyDescent="0.25">
      <c r="B140" s="135"/>
      <c r="C140" s="134"/>
      <c r="D140" s="131"/>
      <c r="E140" s="131"/>
      <c r="F140" s="131"/>
      <c r="G140" s="131"/>
      <c r="H140" s="131"/>
      <c r="I140" s="131"/>
      <c r="J140" s="131"/>
      <c r="K140" s="131"/>
    </row>
    <row r="141" spans="2:11" ht="15" customHeight="1" x14ac:dyDescent="0.25">
      <c r="B141" s="135"/>
      <c r="C141" s="134"/>
      <c r="D141" s="131"/>
      <c r="E141" s="131"/>
      <c r="F141" s="131"/>
      <c r="G141" s="131"/>
      <c r="H141" s="131"/>
      <c r="I141" s="131"/>
      <c r="J141" s="131"/>
      <c r="K141" s="131"/>
    </row>
    <row r="142" spans="2:11" ht="15" customHeight="1" x14ac:dyDescent="0.25">
      <c r="B142" s="135"/>
      <c r="C142" s="134"/>
      <c r="D142" s="131"/>
      <c r="E142" s="131"/>
      <c r="F142" s="131"/>
      <c r="G142" s="131"/>
      <c r="H142" s="131"/>
      <c r="I142" s="131"/>
      <c r="J142" s="131"/>
      <c r="K142" s="131"/>
    </row>
    <row r="143" spans="2:11" ht="15" customHeight="1" x14ac:dyDescent="0.25">
      <c r="B143" s="135"/>
      <c r="C143" s="134"/>
      <c r="D143" s="131"/>
      <c r="E143" s="131"/>
      <c r="F143" s="131"/>
      <c r="G143" s="131"/>
      <c r="H143" s="131"/>
      <c r="I143" s="131"/>
      <c r="J143" s="131"/>
      <c r="K143" s="131"/>
    </row>
    <row r="144" spans="2:11" ht="15" customHeight="1" x14ac:dyDescent="0.25">
      <c r="B144" s="135"/>
      <c r="C144" s="134"/>
      <c r="D144" s="131"/>
      <c r="E144" s="131"/>
      <c r="F144" s="131"/>
      <c r="G144" s="131"/>
      <c r="H144" s="131"/>
      <c r="I144" s="131"/>
      <c r="J144" s="131"/>
      <c r="K144" s="131"/>
    </row>
    <row r="145" spans="2:11" ht="15" customHeight="1" x14ac:dyDescent="0.25">
      <c r="B145" s="135"/>
      <c r="C145" s="134"/>
      <c r="D145" s="131"/>
      <c r="E145" s="131"/>
      <c r="F145" s="131"/>
      <c r="G145" s="131"/>
      <c r="H145" s="131"/>
      <c r="I145" s="131"/>
      <c r="J145" s="131"/>
      <c r="K145" s="131"/>
    </row>
    <row r="146" spans="2:11" ht="15" customHeight="1" x14ac:dyDescent="0.25">
      <c r="B146" s="135"/>
      <c r="C146" s="134"/>
      <c r="D146" s="131"/>
      <c r="E146" s="131"/>
      <c r="F146" s="131"/>
      <c r="G146" s="131"/>
      <c r="H146" s="131"/>
      <c r="I146" s="131"/>
      <c r="J146" s="131"/>
      <c r="K146" s="131"/>
    </row>
    <row r="147" spans="2:11" ht="15" customHeight="1" x14ac:dyDescent="0.25">
      <c r="B147" s="135"/>
      <c r="C147" s="134"/>
      <c r="D147" s="131"/>
      <c r="E147" s="131"/>
      <c r="F147" s="131"/>
      <c r="G147" s="131"/>
      <c r="H147" s="131"/>
      <c r="I147" s="131"/>
      <c r="J147" s="131"/>
      <c r="K147" s="131"/>
    </row>
    <row r="148" spans="2:11" ht="15" customHeight="1" x14ac:dyDescent="0.25">
      <c r="B148" s="135"/>
      <c r="C148" s="134"/>
      <c r="D148" s="131"/>
      <c r="E148" s="131"/>
      <c r="F148" s="131"/>
      <c r="G148" s="131"/>
      <c r="H148" s="131"/>
      <c r="I148" s="131"/>
      <c r="J148" s="131"/>
      <c r="K148" s="131"/>
    </row>
    <row r="149" spans="2:11" ht="15" customHeight="1" x14ac:dyDescent="0.25">
      <c r="B149" s="135"/>
      <c r="C149" s="134"/>
      <c r="D149" s="131"/>
      <c r="E149" s="131"/>
      <c r="F149" s="131"/>
      <c r="G149" s="131"/>
      <c r="H149" s="131"/>
      <c r="I149" s="131"/>
      <c r="J149" s="131"/>
      <c r="K149" s="131"/>
    </row>
    <row r="150" spans="2:11" ht="15" customHeight="1" x14ac:dyDescent="0.25">
      <c r="B150" s="135"/>
      <c r="C150" s="134"/>
      <c r="D150" s="131"/>
      <c r="E150" s="131"/>
      <c r="F150" s="131"/>
      <c r="G150" s="131"/>
      <c r="H150" s="131"/>
      <c r="I150" s="131"/>
      <c r="J150" s="131"/>
      <c r="K150" s="131"/>
    </row>
    <row r="151" spans="2:11" ht="15" customHeight="1" x14ac:dyDescent="0.25">
      <c r="B151" s="135"/>
      <c r="C151" s="134"/>
      <c r="D151" s="131"/>
      <c r="E151" s="131"/>
      <c r="F151" s="131"/>
      <c r="G151" s="131"/>
      <c r="H151" s="131"/>
      <c r="I151" s="131"/>
      <c r="J151" s="131"/>
      <c r="K151" s="131"/>
    </row>
    <row r="152" spans="2:11" ht="15" customHeight="1" x14ac:dyDescent="0.25">
      <c r="B152" s="135"/>
      <c r="C152" s="134"/>
      <c r="D152" s="131"/>
      <c r="E152" s="131"/>
      <c r="F152" s="131"/>
      <c r="G152" s="131"/>
      <c r="H152" s="131"/>
      <c r="I152" s="131"/>
      <c r="J152" s="131"/>
      <c r="K152" s="131"/>
    </row>
    <row r="153" spans="2:11" ht="15" customHeight="1" x14ac:dyDescent="0.25">
      <c r="B153" s="135"/>
      <c r="C153" s="134"/>
      <c r="D153" s="131"/>
      <c r="E153" s="131"/>
      <c r="F153" s="131"/>
      <c r="G153" s="131"/>
      <c r="H153" s="131"/>
      <c r="I153" s="131"/>
      <c r="J153" s="131"/>
      <c r="K153" s="131"/>
    </row>
    <row r="154" spans="2:11" ht="15" customHeight="1" x14ac:dyDescent="0.25">
      <c r="B154" s="135"/>
      <c r="C154" s="134"/>
      <c r="D154" s="131"/>
      <c r="E154" s="131"/>
      <c r="F154" s="131"/>
      <c r="G154" s="131"/>
      <c r="H154" s="131"/>
      <c r="I154" s="131"/>
      <c r="J154" s="131"/>
      <c r="K154" s="131"/>
    </row>
    <row r="155" spans="2:11" ht="15" customHeight="1" x14ac:dyDescent="0.25">
      <c r="B155" s="135"/>
      <c r="C155" s="134"/>
      <c r="D155" s="131"/>
      <c r="E155" s="131"/>
      <c r="F155" s="131"/>
      <c r="G155" s="131"/>
      <c r="H155" s="131"/>
      <c r="I155" s="131"/>
      <c r="J155" s="131"/>
      <c r="K155" s="131"/>
    </row>
    <row r="156" spans="2:11" ht="15" customHeight="1" x14ac:dyDescent="0.25">
      <c r="B156" s="135"/>
      <c r="C156" s="134"/>
      <c r="D156" s="131"/>
      <c r="E156" s="131"/>
      <c r="F156" s="131"/>
      <c r="G156" s="131"/>
      <c r="H156" s="131"/>
      <c r="I156" s="131"/>
      <c r="J156" s="131"/>
      <c r="K156" s="131"/>
    </row>
    <row r="157" spans="2:11" ht="15" customHeight="1" x14ac:dyDescent="0.25">
      <c r="B157" s="135"/>
      <c r="C157" s="134"/>
      <c r="D157" s="131"/>
      <c r="E157" s="131"/>
      <c r="F157" s="131"/>
      <c r="G157" s="131"/>
      <c r="H157" s="131"/>
      <c r="I157" s="131"/>
      <c r="J157" s="131"/>
      <c r="K157" s="131"/>
    </row>
    <row r="158" spans="2:11" ht="15" customHeight="1" x14ac:dyDescent="0.25">
      <c r="B158" s="135"/>
      <c r="C158" s="134"/>
      <c r="D158" s="131"/>
      <c r="E158" s="131"/>
      <c r="F158" s="131"/>
      <c r="G158" s="131"/>
      <c r="H158" s="131"/>
      <c r="I158" s="131"/>
      <c r="J158" s="131"/>
      <c r="K158" s="131"/>
    </row>
    <row r="159" spans="2:11" ht="15" customHeight="1" x14ac:dyDescent="0.25">
      <c r="B159" s="135"/>
      <c r="C159" s="134"/>
      <c r="D159" s="131"/>
      <c r="E159" s="131"/>
      <c r="F159" s="131"/>
      <c r="G159" s="131"/>
      <c r="H159" s="131"/>
      <c r="I159" s="131"/>
      <c r="J159" s="131"/>
      <c r="K159" s="131"/>
    </row>
    <row r="160" spans="2:11" ht="15" customHeight="1" x14ac:dyDescent="0.25">
      <c r="B160" s="135"/>
      <c r="C160" s="134"/>
      <c r="D160" s="131"/>
      <c r="E160" s="131"/>
      <c r="F160" s="131"/>
      <c r="G160" s="131"/>
      <c r="H160" s="131"/>
      <c r="I160" s="131"/>
      <c r="J160" s="131"/>
      <c r="K160" s="131"/>
    </row>
    <row r="161" spans="2:11" ht="15" customHeight="1" x14ac:dyDescent="0.25">
      <c r="B161" s="135"/>
      <c r="C161" s="134"/>
      <c r="D161" s="131"/>
      <c r="E161" s="131"/>
      <c r="F161" s="131"/>
      <c r="G161" s="131"/>
      <c r="H161" s="131"/>
      <c r="I161" s="131"/>
      <c r="J161" s="131"/>
      <c r="K161" s="131"/>
    </row>
    <row r="162" spans="2:11" ht="15" customHeight="1" x14ac:dyDescent="0.25">
      <c r="B162" s="135"/>
      <c r="C162" s="134"/>
      <c r="D162" s="131"/>
      <c r="E162" s="131"/>
      <c r="F162" s="131"/>
      <c r="G162" s="131"/>
      <c r="H162" s="131"/>
      <c r="I162" s="131"/>
      <c r="J162" s="131"/>
      <c r="K162" s="131"/>
    </row>
    <row r="163" spans="2:11" ht="15" customHeight="1" x14ac:dyDescent="0.25">
      <c r="B163" s="135"/>
      <c r="C163" s="134"/>
      <c r="D163" s="131"/>
      <c r="E163" s="131"/>
      <c r="F163" s="131"/>
      <c r="G163" s="131"/>
      <c r="H163" s="131"/>
      <c r="I163" s="131"/>
      <c r="J163" s="131"/>
      <c r="K163" s="131"/>
    </row>
    <row r="164" spans="2:11" ht="15" customHeight="1" x14ac:dyDescent="0.25">
      <c r="B164" s="135"/>
      <c r="C164" s="134"/>
      <c r="D164" s="131"/>
      <c r="E164" s="131"/>
      <c r="F164" s="131"/>
      <c r="G164" s="131"/>
      <c r="H164" s="131"/>
      <c r="I164" s="131"/>
      <c r="J164" s="131"/>
      <c r="K164" s="131"/>
    </row>
    <row r="165" spans="2:11" ht="15" customHeight="1" x14ac:dyDescent="0.25">
      <c r="B165" s="135"/>
      <c r="C165" s="134"/>
      <c r="D165" s="131"/>
      <c r="E165" s="131"/>
      <c r="F165" s="131"/>
      <c r="G165" s="131"/>
      <c r="H165" s="131"/>
      <c r="I165" s="131"/>
      <c r="J165" s="131"/>
      <c r="K165" s="131"/>
    </row>
    <row r="166" spans="2:11" ht="15" customHeight="1" x14ac:dyDescent="0.25">
      <c r="B166" s="135"/>
      <c r="C166" s="134"/>
      <c r="D166" s="131"/>
      <c r="E166" s="131"/>
      <c r="F166" s="131"/>
      <c r="G166" s="131"/>
      <c r="H166" s="131"/>
      <c r="I166" s="131"/>
      <c r="J166" s="131"/>
      <c r="K166" s="131"/>
    </row>
    <row r="167" spans="2:11" ht="15" customHeight="1" x14ac:dyDescent="0.25">
      <c r="B167" s="135"/>
      <c r="C167" s="134"/>
      <c r="D167" s="131"/>
      <c r="E167" s="131"/>
      <c r="F167" s="131"/>
      <c r="G167" s="131"/>
      <c r="H167" s="131"/>
      <c r="I167" s="131"/>
      <c r="J167" s="131"/>
      <c r="K167" s="131"/>
    </row>
    <row r="168" spans="2:11" ht="15" customHeight="1" x14ac:dyDescent="0.25">
      <c r="B168" s="135"/>
      <c r="C168" s="134"/>
      <c r="D168" s="131"/>
      <c r="E168" s="131"/>
      <c r="F168" s="131"/>
      <c r="G168" s="131"/>
      <c r="H168" s="131"/>
      <c r="I168" s="131"/>
      <c r="J168" s="131"/>
      <c r="K168" s="131"/>
    </row>
    <row r="169" spans="2:11" ht="15" customHeight="1" x14ac:dyDescent="0.25">
      <c r="B169" s="135"/>
      <c r="C169" s="134"/>
      <c r="D169" s="131"/>
      <c r="E169" s="131"/>
      <c r="F169" s="131"/>
      <c r="G169" s="131"/>
      <c r="H169" s="131"/>
      <c r="I169" s="131"/>
      <c r="J169" s="131"/>
      <c r="K169" s="131"/>
    </row>
    <row r="170" spans="2:11" ht="15" customHeight="1" x14ac:dyDescent="0.25">
      <c r="B170" s="135"/>
      <c r="C170" s="134"/>
      <c r="D170" s="131"/>
      <c r="E170" s="131"/>
      <c r="F170" s="131"/>
      <c r="G170" s="131"/>
      <c r="H170" s="131"/>
      <c r="I170" s="131"/>
      <c r="J170" s="131"/>
      <c r="K170" s="131"/>
    </row>
    <row r="171" spans="2:11" ht="15" customHeight="1" x14ac:dyDescent="0.25">
      <c r="B171" s="135"/>
      <c r="C171" s="134"/>
      <c r="D171" s="131"/>
      <c r="E171" s="131"/>
      <c r="F171" s="131"/>
      <c r="G171" s="131"/>
      <c r="H171" s="131"/>
      <c r="I171" s="131"/>
      <c r="J171" s="131"/>
      <c r="K171" s="131"/>
    </row>
    <row r="172" spans="2:11" ht="15" customHeight="1" x14ac:dyDescent="0.25">
      <c r="B172" s="135"/>
      <c r="C172" s="134"/>
      <c r="D172" s="131"/>
      <c r="E172" s="131"/>
      <c r="F172" s="131"/>
      <c r="G172" s="131"/>
      <c r="H172" s="131"/>
      <c r="I172" s="131"/>
      <c r="J172" s="131"/>
      <c r="K172" s="131"/>
    </row>
    <row r="173" spans="2:11" ht="15" customHeight="1" x14ac:dyDescent="0.25">
      <c r="B173" s="135"/>
      <c r="C173" s="134"/>
      <c r="D173" s="131"/>
      <c r="E173" s="131"/>
      <c r="F173" s="131"/>
      <c r="G173" s="131"/>
      <c r="H173" s="131"/>
      <c r="I173" s="131"/>
      <c r="J173" s="131"/>
      <c r="K173" s="131"/>
    </row>
    <row r="174" spans="2:11" ht="15" customHeight="1" x14ac:dyDescent="0.25">
      <c r="B174" s="135"/>
      <c r="C174" s="134"/>
      <c r="D174" s="131"/>
      <c r="E174" s="131"/>
      <c r="F174" s="131"/>
      <c r="G174" s="131"/>
      <c r="H174" s="131"/>
      <c r="I174" s="131"/>
      <c r="J174" s="131"/>
      <c r="K174" s="131"/>
    </row>
    <row r="175" spans="2:11" ht="15" customHeight="1" x14ac:dyDescent="0.25">
      <c r="B175" s="135"/>
      <c r="C175" s="134"/>
      <c r="D175" s="131"/>
      <c r="E175" s="131"/>
      <c r="F175" s="131"/>
      <c r="G175" s="131"/>
      <c r="H175" s="131"/>
      <c r="I175" s="131"/>
      <c r="J175" s="131"/>
      <c r="K175" s="131"/>
    </row>
    <row r="176" spans="2:11" ht="15" customHeight="1" x14ac:dyDescent="0.25">
      <c r="B176" s="135"/>
      <c r="C176" s="134"/>
      <c r="D176" s="131"/>
      <c r="E176" s="131"/>
      <c r="F176" s="131"/>
      <c r="G176" s="131"/>
      <c r="H176" s="131"/>
      <c r="I176" s="131"/>
      <c r="J176" s="131"/>
      <c r="K176" s="131"/>
    </row>
    <row r="177" spans="2:11" ht="15" customHeight="1" x14ac:dyDescent="0.25">
      <c r="B177" s="135"/>
      <c r="C177" s="134"/>
      <c r="D177" s="131"/>
      <c r="E177" s="131"/>
      <c r="F177" s="131"/>
      <c r="G177" s="131"/>
      <c r="H177" s="131"/>
      <c r="I177" s="131"/>
      <c r="J177" s="131"/>
      <c r="K177" s="131"/>
    </row>
    <row r="178" spans="2:11" ht="15" customHeight="1" x14ac:dyDescent="0.25">
      <c r="B178" s="135"/>
      <c r="C178" s="134"/>
      <c r="D178" s="131"/>
      <c r="E178" s="131"/>
      <c r="F178" s="131"/>
      <c r="G178" s="131"/>
      <c r="H178" s="131"/>
      <c r="I178" s="131"/>
      <c r="J178" s="131"/>
      <c r="K178" s="131"/>
    </row>
    <row r="179" spans="2:11" ht="15" customHeight="1" x14ac:dyDescent="0.25">
      <c r="B179" s="135"/>
      <c r="C179" s="134"/>
      <c r="D179" s="131"/>
      <c r="E179" s="131"/>
      <c r="F179" s="131"/>
      <c r="G179" s="131"/>
      <c r="H179" s="131"/>
      <c r="I179" s="131"/>
      <c r="J179" s="131"/>
      <c r="K179" s="131"/>
    </row>
    <row r="180" spans="2:11" ht="15" customHeight="1" x14ac:dyDescent="0.25">
      <c r="B180" s="135"/>
      <c r="C180" s="134"/>
      <c r="D180" s="131"/>
      <c r="E180" s="131"/>
      <c r="F180" s="131"/>
      <c r="G180" s="131"/>
      <c r="H180" s="131"/>
      <c r="I180" s="131"/>
      <c r="J180" s="131"/>
      <c r="K180" s="131"/>
    </row>
    <row r="181" spans="2:11" ht="15" customHeight="1" x14ac:dyDescent="0.25">
      <c r="B181" s="135"/>
      <c r="C181" s="134"/>
      <c r="D181" s="131"/>
      <c r="E181" s="131"/>
      <c r="F181" s="131"/>
      <c r="G181" s="131"/>
      <c r="H181" s="131"/>
      <c r="I181" s="131"/>
      <c r="J181" s="131"/>
      <c r="K181" s="131"/>
    </row>
    <row r="182" spans="2:11" ht="15" customHeight="1" x14ac:dyDescent="0.25">
      <c r="B182" s="135"/>
      <c r="C182" s="134"/>
      <c r="D182" s="131"/>
      <c r="E182" s="131"/>
      <c r="F182" s="131"/>
      <c r="G182" s="131"/>
      <c r="H182" s="131"/>
      <c r="I182" s="131"/>
      <c r="J182" s="131"/>
      <c r="K182" s="131"/>
    </row>
    <row r="183" spans="2:11" ht="15" customHeight="1" x14ac:dyDescent="0.25">
      <c r="B183" s="135"/>
      <c r="C183" s="134"/>
      <c r="D183" s="131"/>
      <c r="E183" s="131"/>
      <c r="F183" s="131"/>
      <c r="G183" s="131"/>
      <c r="H183" s="131"/>
      <c r="I183" s="131"/>
      <c r="J183" s="131"/>
      <c r="K183" s="131"/>
    </row>
    <row r="184" spans="2:11" ht="15" customHeight="1" x14ac:dyDescent="0.25">
      <c r="B184" s="135"/>
      <c r="C184" s="134"/>
      <c r="D184" s="131"/>
      <c r="E184" s="131"/>
      <c r="F184" s="131"/>
      <c r="G184" s="131"/>
      <c r="H184" s="131"/>
      <c r="I184" s="131"/>
      <c r="J184" s="131"/>
      <c r="K184" s="131"/>
    </row>
    <row r="185" spans="2:11" ht="15" customHeight="1" x14ac:dyDescent="0.25">
      <c r="B185" s="135"/>
      <c r="C185" s="134"/>
      <c r="D185" s="131"/>
      <c r="E185" s="131"/>
      <c r="F185" s="131"/>
      <c r="G185" s="131"/>
      <c r="H185" s="131"/>
      <c r="I185" s="131"/>
      <c r="J185" s="131"/>
      <c r="K185" s="131"/>
    </row>
    <row r="186" spans="2:11" ht="15" customHeight="1" x14ac:dyDescent="0.25">
      <c r="B186" s="135"/>
      <c r="C186" s="134"/>
      <c r="D186" s="131"/>
      <c r="E186" s="131"/>
      <c r="F186" s="131"/>
      <c r="G186" s="131"/>
      <c r="H186" s="131"/>
      <c r="I186" s="131"/>
      <c r="J186" s="131"/>
      <c r="K186" s="131"/>
    </row>
    <row r="187" spans="2:11" ht="15" customHeight="1" x14ac:dyDescent="0.25">
      <c r="B187" s="135"/>
      <c r="C187" s="134"/>
      <c r="D187" s="131"/>
      <c r="E187" s="131"/>
      <c r="F187" s="131"/>
      <c r="G187" s="131"/>
      <c r="H187" s="131"/>
      <c r="I187" s="131"/>
      <c r="J187" s="131"/>
      <c r="K187" s="131"/>
    </row>
    <row r="188" spans="2:11" ht="15" customHeight="1" x14ac:dyDescent="0.25">
      <c r="B188" s="135"/>
      <c r="C188" s="134"/>
      <c r="D188" s="131"/>
      <c r="E188" s="131"/>
      <c r="F188" s="131"/>
      <c r="G188" s="131"/>
      <c r="H188" s="131"/>
      <c r="I188" s="131"/>
      <c r="J188" s="131"/>
      <c r="K188" s="131"/>
    </row>
    <row r="189" spans="2:11" ht="15" customHeight="1" x14ac:dyDescent="0.25">
      <c r="B189" s="135"/>
      <c r="C189" s="134"/>
      <c r="D189" s="131"/>
      <c r="E189" s="131"/>
      <c r="F189" s="131"/>
      <c r="G189" s="131"/>
      <c r="H189" s="131"/>
      <c r="I189" s="131"/>
      <c r="J189" s="131"/>
      <c r="K189" s="131"/>
    </row>
    <row r="190" spans="2:11" ht="15" customHeight="1" x14ac:dyDescent="0.25">
      <c r="B190" s="135"/>
      <c r="C190" s="134"/>
      <c r="D190" s="131"/>
      <c r="E190" s="131"/>
      <c r="F190" s="131"/>
      <c r="G190" s="131"/>
      <c r="H190" s="131"/>
      <c r="I190" s="131"/>
      <c r="J190" s="131"/>
      <c r="K190" s="131"/>
    </row>
    <row r="191" spans="2:11" ht="15" customHeight="1" x14ac:dyDescent="0.25">
      <c r="B191" s="135"/>
      <c r="C191" s="134"/>
      <c r="D191" s="131"/>
      <c r="E191" s="131"/>
      <c r="F191" s="131"/>
      <c r="G191" s="131"/>
      <c r="H191" s="131"/>
      <c r="I191" s="131"/>
      <c r="J191" s="131"/>
      <c r="K191" s="131"/>
    </row>
    <row r="192" spans="2:11" ht="15" customHeight="1" x14ac:dyDescent="0.25">
      <c r="B192" s="135"/>
      <c r="C192" s="134"/>
      <c r="D192" s="131"/>
      <c r="E192" s="131"/>
      <c r="F192" s="131"/>
      <c r="G192" s="131"/>
      <c r="H192" s="131"/>
      <c r="I192" s="131"/>
      <c r="J192" s="131"/>
      <c r="K192" s="131"/>
    </row>
    <row r="193" spans="2:11" ht="15" customHeight="1" x14ac:dyDescent="0.25">
      <c r="B193" s="135"/>
      <c r="C193" s="134"/>
      <c r="D193" s="131"/>
      <c r="E193" s="131"/>
      <c r="F193" s="131"/>
      <c r="G193" s="131"/>
      <c r="H193" s="131"/>
      <c r="I193" s="131"/>
      <c r="J193" s="131"/>
      <c r="K193" s="131"/>
    </row>
    <row r="194" spans="2:11" ht="15" customHeight="1" x14ac:dyDescent="0.25">
      <c r="B194" s="135"/>
      <c r="C194" s="134"/>
      <c r="D194" s="131"/>
      <c r="E194" s="131"/>
      <c r="F194" s="131"/>
      <c r="G194" s="131"/>
      <c r="H194" s="131"/>
      <c r="I194" s="131"/>
      <c r="J194" s="131"/>
      <c r="K194" s="131"/>
    </row>
    <row r="195" spans="2:11" ht="15" customHeight="1" x14ac:dyDescent="0.25">
      <c r="B195" s="135"/>
      <c r="C195" s="134"/>
      <c r="D195" s="131"/>
      <c r="E195" s="131"/>
      <c r="F195" s="131"/>
      <c r="G195" s="131"/>
      <c r="H195" s="131"/>
      <c r="I195" s="131"/>
      <c r="J195" s="131"/>
      <c r="K195" s="131"/>
    </row>
    <row r="196" spans="2:11" ht="15" customHeight="1" x14ac:dyDescent="0.25">
      <c r="B196" s="135"/>
      <c r="C196" s="134"/>
      <c r="D196" s="131"/>
      <c r="E196" s="131"/>
      <c r="F196" s="131"/>
      <c r="G196" s="131"/>
      <c r="H196" s="131"/>
      <c r="I196" s="131"/>
      <c r="J196" s="131"/>
      <c r="K196" s="131"/>
    </row>
    <row r="197" spans="2:11" ht="15" customHeight="1" x14ac:dyDescent="0.25">
      <c r="B197" s="135"/>
      <c r="C197" s="134"/>
      <c r="D197" s="131"/>
      <c r="E197" s="131"/>
      <c r="F197" s="131"/>
      <c r="G197" s="131"/>
      <c r="H197" s="131"/>
      <c r="I197" s="131"/>
      <c r="J197" s="131"/>
      <c r="K197" s="131"/>
    </row>
    <row r="198" spans="2:11" ht="15" customHeight="1" x14ac:dyDescent="0.25">
      <c r="B198" s="135"/>
      <c r="C198" s="134"/>
      <c r="D198" s="131"/>
      <c r="E198" s="131"/>
      <c r="F198" s="131"/>
      <c r="G198" s="131"/>
      <c r="H198" s="131"/>
      <c r="I198" s="131"/>
      <c r="J198" s="131"/>
      <c r="K198" s="131"/>
    </row>
    <row r="199" spans="2:11" ht="15" customHeight="1" x14ac:dyDescent="0.25">
      <c r="B199" s="135"/>
      <c r="C199" s="134"/>
      <c r="D199" s="131"/>
      <c r="E199" s="131"/>
      <c r="F199" s="131"/>
      <c r="G199" s="131"/>
      <c r="H199" s="131"/>
      <c r="I199" s="131"/>
      <c r="J199" s="131"/>
      <c r="K199" s="131"/>
    </row>
    <row r="200" spans="2:11" ht="15" customHeight="1" x14ac:dyDescent="0.25">
      <c r="B200" s="135"/>
      <c r="C200" s="134"/>
      <c r="D200" s="131"/>
      <c r="E200" s="131"/>
      <c r="F200" s="131"/>
      <c r="G200" s="131"/>
      <c r="H200" s="131"/>
      <c r="I200" s="131"/>
      <c r="J200" s="131"/>
      <c r="K200" s="131"/>
    </row>
    <row r="201" spans="2:11" ht="15" customHeight="1" x14ac:dyDescent="0.25">
      <c r="B201" s="135"/>
      <c r="C201" s="134"/>
      <c r="D201" s="131"/>
      <c r="E201" s="131"/>
      <c r="F201" s="131"/>
      <c r="G201" s="131"/>
      <c r="H201" s="131"/>
      <c r="I201" s="131"/>
      <c r="J201" s="131"/>
      <c r="K201" s="131"/>
    </row>
    <row r="202" spans="2:11" ht="15" customHeight="1" x14ac:dyDescent="0.25">
      <c r="B202" s="135"/>
      <c r="C202" s="134"/>
      <c r="D202" s="131"/>
      <c r="E202" s="131"/>
      <c r="F202" s="131"/>
      <c r="G202" s="131"/>
      <c r="H202" s="131"/>
      <c r="I202" s="131"/>
      <c r="J202" s="131"/>
      <c r="K202" s="131"/>
    </row>
    <row r="203" spans="2:11" ht="15" customHeight="1" x14ac:dyDescent="0.25">
      <c r="B203" s="133"/>
      <c r="C203" s="132"/>
      <c r="D203" s="131"/>
      <c r="E203" s="131"/>
      <c r="F203" s="131"/>
      <c r="G203" s="131"/>
      <c r="H203" s="131"/>
      <c r="I203" s="131"/>
      <c r="J203" s="131"/>
      <c r="K203" s="131"/>
    </row>
    <row r="204" spans="2:11" ht="15" customHeight="1" x14ac:dyDescent="0.25">
      <c r="B204" s="133"/>
      <c r="C204" s="132"/>
      <c r="D204" s="131"/>
      <c r="E204" s="131"/>
      <c r="F204" s="131"/>
      <c r="G204" s="131"/>
      <c r="H204" s="131"/>
      <c r="I204" s="131"/>
      <c r="J204" s="131"/>
      <c r="K204" s="131"/>
    </row>
    <row r="205" spans="2:11" ht="15" customHeight="1" x14ac:dyDescent="0.25">
      <c r="B205" s="130"/>
      <c r="C205" s="129"/>
      <c r="D205" s="128"/>
      <c r="E205" s="128"/>
      <c r="F205" s="128"/>
      <c r="G205" s="128"/>
      <c r="H205" s="128"/>
      <c r="I205" s="128"/>
      <c r="J205" s="128"/>
      <c r="K205" s="131"/>
    </row>
  </sheetData>
  <hyperlinks>
    <hyperlink ref="B11" location="índice!D7" display="SERIE: TOTAL DE PERSONAS OCUPADAS FORMALES E INFORMALES POR CATEGORÍA EN LA OCUPACIÓN /1 SEGÚN TRIMESTRE" xr:uid="{B649B7F4-4265-4E83-A34D-E6C25C031395}"/>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1C24C-F886-43B7-AA39-4A2B7ABE1F37}">
  <sheetPr>
    <tabColor rgb="FFE9617B"/>
  </sheetPr>
  <dimension ref="A2:JB206"/>
  <sheetViews>
    <sheetView showGridLines="0" topLeftCell="A12" workbookViewId="0"/>
    <sheetView workbookViewId="1"/>
  </sheetViews>
  <sheetFormatPr baseColWidth="10" defaultColWidth="10.7109375" defaultRowHeight="12.75" x14ac:dyDescent="0.25"/>
  <cols>
    <col min="1" max="1" width="6.5703125" style="126" customWidth="1"/>
    <col min="2" max="2" width="7.7109375" style="126" customWidth="1" collapsed="1"/>
    <col min="3" max="3" width="11.42578125" style="127" customWidth="1" collapsed="1"/>
    <col min="4" max="4" width="5.7109375" style="126" customWidth="1" collapsed="1"/>
    <col min="5" max="5" width="7.42578125" style="126" customWidth="1" collapsed="1"/>
    <col min="6" max="6" width="5.7109375" style="126" customWidth="1" collapsed="1"/>
    <col min="7" max="7" width="6.140625" style="126" customWidth="1" collapsed="1"/>
    <col min="8" max="8" width="5.7109375" style="126" customWidth="1" collapsed="1"/>
    <col min="9" max="9" width="6.140625" style="126" customWidth="1" collapsed="1"/>
    <col min="10" max="10" width="5.7109375" style="126" customWidth="1" collapsed="1"/>
    <col min="11" max="11" width="7.42578125" style="126" customWidth="1" collapsed="1"/>
    <col min="12" max="12" width="5.7109375" style="126" customWidth="1" collapsed="1"/>
    <col min="13" max="13" width="7.42578125" style="126" customWidth="1" collapsed="1"/>
    <col min="14" max="14" width="5.7109375" style="126" customWidth="1" collapsed="1"/>
    <col min="15" max="15" width="5.7109375" style="126" bestFit="1" customWidth="1" collapsed="1"/>
    <col min="16" max="16" width="12.85546875" style="126" customWidth="1" collapsed="1"/>
    <col min="17" max="17" width="12.85546875" style="126" customWidth="1"/>
    <col min="18" max="18" width="11.42578125" style="127" customWidth="1" collapsed="1"/>
    <col min="19" max="19" width="7.42578125" style="126" hidden="1" customWidth="1"/>
    <col min="20" max="20" width="10.28515625" style="126" hidden="1" customWidth="1" collapsed="1"/>
    <col min="21" max="25" width="0" style="126" hidden="1" customWidth="1" collapsed="1"/>
    <col min="26" max="253" width="10.7109375" style="126" collapsed="1"/>
    <col min="254" max="262" width="10.7109375" style="126"/>
    <col min="263" max="16384" width="10.7109375" style="126" collapsed="1"/>
  </cols>
  <sheetData>
    <row r="2" spans="2:30" ht="15" x14ac:dyDescent="0.25">
      <c r="B2" s="278" t="s">
        <v>510</v>
      </c>
    </row>
    <row r="3" spans="2:30" ht="189.6" customHeight="1" x14ac:dyDescent="0.25"/>
    <row r="9" spans="2:30" x14ac:dyDescent="0.25">
      <c r="B9" s="307" t="s">
        <v>511</v>
      </c>
    </row>
    <row r="11" spans="2:30" s="137" customFormat="1" x14ac:dyDescent="0.25">
      <c r="B11" s="280" t="s">
        <v>191</v>
      </c>
      <c r="C11" s="267"/>
      <c r="D11" s="268"/>
      <c r="E11" s="268"/>
      <c r="F11" s="268"/>
      <c r="G11" s="268"/>
      <c r="H11" s="268"/>
      <c r="I11" s="268"/>
      <c r="J11" s="268"/>
      <c r="K11" s="268"/>
      <c r="L11" s="268"/>
      <c r="M11" s="268"/>
      <c r="N11" s="268"/>
      <c r="O11" s="268"/>
      <c r="P11" s="268"/>
      <c r="Q11" s="336"/>
      <c r="R11" s="267"/>
      <c r="S11" s="268"/>
      <c r="T11" s="268"/>
      <c r="U11" s="268"/>
      <c r="V11" s="268"/>
      <c r="W11" s="268"/>
      <c r="X11" s="268"/>
      <c r="Y11" s="268"/>
    </row>
    <row r="12" spans="2:30" s="137" customFormat="1" x14ac:dyDescent="0.25">
      <c r="B12" s="269" t="s">
        <v>178</v>
      </c>
      <c r="C12" s="267"/>
      <c r="D12" s="268"/>
      <c r="E12" s="268"/>
      <c r="F12" s="268"/>
      <c r="G12" s="268"/>
      <c r="H12" s="268"/>
      <c r="I12" s="268"/>
      <c r="J12" s="268"/>
      <c r="K12" s="268"/>
      <c r="L12" s="268"/>
      <c r="M12" s="268"/>
      <c r="N12" s="268"/>
      <c r="O12" s="268"/>
      <c r="P12" s="268"/>
      <c r="Q12" s="336"/>
      <c r="R12" s="267"/>
      <c r="S12" s="268"/>
      <c r="T12" s="268"/>
      <c r="U12" s="268"/>
      <c r="V12" s="268"/>
      <c r="W12" s="268"/>
      <c r="X12" s="268"/>
      <c r="Y12" s="268"/>
    </row>
    <row r="13" spans="2:30" s="137" customFormat="1" x14ac:dyDescent="0.25">
      <c r="B13" s="268"/>
      <c r="C13" s="267"/>
      <c r="D13" s="268"/>
      <c r="E13" s="268"/>
      <c r="F13" s="268"/>
      <c r="G13" s="268"/>
      <c r="H13" s="268"/>
      <c r="I13" s="268"/>
      <c r="J13" s="268"/>
      <c r="K13" s="268"/>
      <c r="L13" s="268"/>
      <c r="M13" s="268"/>
      <c r="N13" s="268"/>
      <c r="O13" s="268"/>
      <c r="P13" s="268"/>
      <c r="Q13" s="336"/>
      <c r="R13" s="267"/>
      <c r="S13" s="268"/>
      <c r="T13" s="268"/>
      <c r="U13" s="268"/>
      <c r="V13" s="268"/>
      <c r="W13" s="268"/>
      <c r="X13" s="268"/>
      <c r="Y13" s="268"/>
    </row>
    <row r="14" spans="2:30" s="137" customFormat="1" x14ac:dyDescent="0.25">
      <c r="B14" s="618"/>
      <c r="C14" s="618"/>
      <c r="D14" s="618"/>
      <c r="E14" s="618"/>
      <c r="F14" s="618"/>
      <c r="G14" s="618"/>
      <c r="H14" s="618"/>
      <c r="I14" s="618"/>
      <c r="J14" s="618"/>
      <c r="K14" s="618"/>
      <c r="L14" s="618"/>
      <c r="M14" s="618"/>
      <c r="N14" s="618"/>
      <c r="O14" s="618"/>
      <c r="P14" s="281"/>
      <c r="R14" s="281"/>
      <c r="S14" s="281"/>
      <c r="T14" s="282" t="s">
        <v>206</v>
      </c>
      <c r="U14" s="282" t="s">
        <v>206</v>
      </c>
      <c r="V14" s="282" t="s">
        <v>206</v>
      </c>
      <c r="W14" s="282" t="s">
        <v>206</v>
      </c>
      <c r="X14" s="282" t="s">
        <v>206</v>
      </c>
      <c r="Y14" s="282" t="s">
        <v>206</v>
      </c>
      <c r="Z14" s="137" t="s">
        <v>134</v>
      </c>
      <c r="AA14" s="137" t="s">
        <v>134</v>
      </c>
      <c r="AB14" s="137" t="s">
        <v>134</v>
      </c>
      <c r="AC14" s="137" t="s">
        <v>134</v>
      </c>
      <c r="AD14" s="137" t="s">
        <v>134</v>
      </c>
    </row>
    <row r="15" spans="2:30" s="140" customFormat="1" ht="60" customHeight="1" x14ac:dyDescent="0.25">
      <c r="B15" s="271" t="s">
        <v>6</v>
      </c>
      <c r="C15" s="271" t="s">
        <v>176</v>
      </c>
      <c r="D15" s="619" t="s">
        <v>205</v>
      </c>
      <c r="E15" s="619"/>
      <c r="F15" s="620" t="s">
        <v>204</v>
      </c>
      <c r="G15" s="620"/>
      <c r="H15" s="620" t="s">
        <v>203</v>
      </c>
      <c r="I15" s="620"/>
      <c r="J15" s="620" t="s">
        <v>202</v>
      </c>
      <c r="K15" s="620"/>
      <c r="L15" s="620" t="s">
        <v>201</v>
      </c>
      <c r="M15" s="620"/>
      <c r="N15" s="620" t="s">
        <v>200</v>
      </c>
      <c r="O15" s="620"/>
      <c r="P15" s="286" t="s">
        <v>189</v>
      </c>
      <c r="Q15" s="337"/>
      <c r="R15" s="271" t="s">
        <v>176</v>
      </c>
      <c r="S15" s="279" t="s">
        <v>199</v>
      </c>
      <c r="T15" s="271" t="s">
        <v>198</v>
      </c>
      <c r="U15" s="271" t="s">
        <v>197</v>
      </c>
      <c r="V15" s="271" t="s">
        <v>196</v>
      </c>
      <c r="W15" s="271" t="s">
        <v>195</v>
      </c>
      <c r="X15" s="272" t="s">
        <v>194</v>
      </c>
      <c r="Y15" s="272" t="s">
        <v>193</v>
      </c>
      <c r="Z15" s="271" t="s">
        <v>188</v>
      </c>
      <c r="AA15" s="142" t="s">
        <v>187</v>
      </c>
      <c r="AB15" s="142" t="s">
        <v>185</v>
      </c>
      <c r="AC15" s="141" t="s">
        <v>184</v>
      </c>
      <c r="AD15" s="141" t="s">
        <v>183</v>
      </c>
    </row>
    <row r="16" spans="2:30" x14ac:dyDescent="0.25">
      <c r="B16" s="132">
        <v>2017</v>
      </c>
      <c r="C16" s="273" t="s">
        <v>168</v>
      </c>
      <c r="D16" s="274"/>
      <c r="E16" s="274">
        <v>6155.3069204645417</v>
      </c>
      <c r="F16" s="275"/>
      <c r="G16" s="275">
        <v>321.97937539215013</v>
      </c>
      <c r="H16" s="275"/>
      <c r="I16" s="275">
        <v>680.33363140694792</v>
      </c>
      <c r="J16" s="275"/>
      <c r="K16" s="275">
        <v>4107.2269865798871</v>
      </c>
      <c r="L16" s="275"/>
      <c r="M16" s="275">
        <v>864.67983888357014</v>
      </c>
      <c r="N16" s="275"/>
      <c r="O16" s="275">
        <v>181.08708820198606</v>
      </c>
      <c r="P16" s="274">
        <v>2457.7855907802191</v>
      </c>
      <c r="Q16" s="338"/>
      <c r="R16" s="132" t="str">
        <f t="shared" ref="R16:R47" si="0">+C16&amp;" "&amp;B16</f>
        <v>Jul - Sep 2017</v>
      </c>
      <c r="S16" s="274">
        <f t="shared" ref="S16:S47" si="1">+E16+P16</f>
        <v>8613.0925112447603</v>
      </c>
      <c r="T16" s="275">
        <v>63.694150114598102</v>
      </c>
      <c r="U16" s="275">
        <v>1156.8389196380633</v>
      </c>
      <c r="V16" s="275">
        <v>83.05541780980252</v>
      </c>
      <c r="W16" s="275">
        <v>870.05079974318346</v>
      </c>
      <c r="X16" s="275">
        <v>125.64977587961205</v>
      </c>
      <c r="Y16" s="275">
        <v>158.49652759495936</v>
      </c>
      <c r="Z16" s="283">
        <f t="shared" ref="Z16:Z47" si="2">+T16/(G16+T16)</f>
        <v>0.16515043398664303</v>
      </c>
      <c r="AA16" s="145">
        <f t="shared" ref="AA16:AA47" si="3">+U16/(I16+U16)</f>
        <v>0.62968441313802348</v>
      </c>
      <c r="AB16" s="145">
        <f t="shared" ref="AB16:AB47" si="4">+W16/(K16+W16)</f>
        <v>0.17480454921241748</v>
      </c>
      <c r="AC16" s="145">
        <f t="shared" ref="AC16:AC47" si="5">+X16/(M16+X16)</f>
        <v>0.12687672266537109</v>
      </c>
      <c r="AD16" s="145">
        <f t="shared" ref="AD16:AD47" si="6">+Y16/(O16+Y16)</f>
        <v>0.46673785254036704</v>
      </c>
    </row>
    <row r="17" spans="2:33" x14ac:dyDescent="0.25">
      <c r="B17" s="132">
        <v>2017</v>
      </c>
      <c r="C17" s="273" t="s">
        <v>167</v>
      </c>
      <c r="D17" s="274"/>
      <c r="E17" s="274">
        <v>6125.851278119575</v>
      </c>
      <c r="F17" s="275"/>
      <c r="G17" s="275">
        <v>320.95251294682936</v>
      </c>
      <c r="H17" s="275"/>
      <c r="I17" s="275">
        <v>670.68166551961178</v>
      </c>
      <c r="J17" s="275"/>
      <c r="K17" s="275">
        <v>4079.8076446702362</v>
      </c>
      <c r="L17" s="275"/>
      <c r="M17" s="275">
        <v>871.35349289058195</v>
      </c>
      <c r="N17" s="275"/>
      <c r="O17" s="275">
        <v>183.05596209231578</v>
      </c>
      <c r="P17" s="274">
        <v>2496.8522401309147</v>
      </c>
      <c r="Q17" s="338"/>
      <c r="R17" s="132" t="str">
        <f t="shared" si="0"/>
        <v>Ago - Oct 2017</v>
      </c>
      <c r="S17" s="274">
        <f t="shared" si="1"/>
        <v>8622.7035182504897</v>
      </c>
      <c r="T17" s="275">
        <v>58.29531491344877</v>
      </c>
      <c r="U17" s="275">
        <v>1169.0829441575368</v>
      </c>
      <c r="V17" s="275">
        <v>85.172651322043819</v>
      </c>
      <c r="W17" s="275">
        <v>902.44899618649697</v>
      </c>
      <c r="X17" s="275">
        <v>132.13657817321516</v>
      </c>
      <c r="Y17" s="275">
        <v>149.71575537817347</v>
      </c>
      <c r="Z17" s="283">
        <f t="shared" si="2"/>
        <v>0.15371298299149611</v>
      </c>
      <c r="AA17" s="145">
        <f t="shared" si="3"/>
        <v>0.63545245843308917</v>
      </c>
      <c r="AB17" s="145">
        <f t="shared" si="4"/>
        <v>0.1811325793187793</v>
      </c>
      <c r="AC17" s="145">
        <f t="shared" si="5"/>
        <v>0.13167701602980239</v>
      </c>
      <c r="AD17" s="145">
        <f t="shared" si="6"/>
        <v>0.44990528797403134</v>
      </c>
    </row>
    <row r="18" spans="2:33" x14ac:dyDescent="0.25">
      <c r="B18" s="132">
        <v>2017</v>
      </c>
      <c r="C18" s="273" t="s">
        <v>166</v>
      </c>
      <c r="D18" s="274"/>
      <c r="E18" s="274">
        <v>6144.4764911879547</v>
      </c>
      <c r="F18" s="275"/>
      <c r="G18" s="275">
        <v>325.03413017367114</v>
      </c>
      <c r="H18" s="275"/>
      <c r="I18" s="275">
        <v>661.2769973154833</v>
      </c>
      <c r="J18" s="275"/>
      <c r="K18" s="275">
        <v>4109.9430810055392</v>
      </c>
      <c r="L18" s="275"/>
      <c r="M18" s="275">
        <v>865.77178342430341</v>
      </c>
      <c r="N18" s="275"/>
      <c r="O18" s="275">
        <v>182.45049926895794</v>
      </c>
      <c r="P18" s="274">
        <v>2568.2049681883223</v>
      </c>
      <c r="Q18" s="338"/>
      <c r="R18" s="132" t="str">
        <f t="shared" si="0"/>
        <v>Sep - Nov 2017</v>
      </c>
      <c r="S18" s="274">
        <f t="shared" si="1"/>
        <v>8712.6814593762774</v>
      </c>
      <c r="T18" s="275">
        <v>53.421948596974794</v>
      </c>
      <c r="U18" s="275">
        <v>1169.1915461533051</v>
      </c>
      <c r="V18" s="275">
        <v>93.572150298704074</v>
      </c>
      <c r="W18" s="275">
        <v>954.78763094946544</v>
      </c>
      <c r="X18" s="275">
        <v>142.69270280449055</v>
      </c>
      <c r="Y18" s="275">
        <v>154.53898938538225</v>
      </c>
      <c r="Z18" s="283">
        <f t="shared" si="2"/>
        <v>0.14115759157709251</v>
      </c>
      <c r="AA18" s="145">
        <f t="shared" si="3"/>
        <v>0.63873894491388239</v>
      </c>
      <c r="AB18" s="145">
        <f t="shared" si="4"/>
        <v>0.18851695879817348</v>
      </c>
      <c r="AC18" s="145">
        <f t="shared" si="5"/>
        <v>0.14149502015494608</v>
      </c>
      <c r="AD18" s="145">
        <f t="shared" si="6"/>
        <v>0.45858697255657527</v>
      </c>
    </row>
    <row r="19" spans="2:33" x14ac:dyDescent="0.25">
      <c r="B19" s="132">
        <v>2017</v>
      </c>
      <c r="C19" s="273" t="s">
        <v>165</v>
      </c>
      <c r="D19" s="274"/>
      <c r="E19" s="274">
        <v>6171.2231071405477</v>
      </c>
      <c r="F19" s="275"/>
      <c r="G19" s="275">
        <v>326.96887154294342</v>
      </c>
      <c r="H19" s="275"/>
      <c r="I19" s="275">
        <v>645.57307305301583</v>
      </c>
      <c r="J19" s="275"/>
      <c r="K19" s="275">
        <v>4137.0437991789131</v>
      </c>
      <c r="L19" s="275"/>
      <c r="M19" s="275">
        <v>875.06186554372766</v>
      </c>
      <c r="N19" s="275"/>
      <c r="O19" s="275">
        <v>186.57549782194812</v>
      </c>
      <c r="P19" s="274">
        <v>2597.4437495761454</v>
      </c>
      <c r="Q19" s="338"/>
      <c r="R19" s="132" t="str">
        <f t="shared" si="0"/>
        <v>Oct - Dic 2017</v>
      </c>
      <c r="S19" s="274">
        <f t="shared" si="1"/>
        <v>8768.6668567166926</v>
      </c>
      <c r="T19" s="275">
        <v>53.386842923294452</v>
      </c>
      <c r="U19" s="275">
        <v>1166.1969236834684</v>
      </c>
      <c r="V19" s="275">
        <v>98.622194574886919</v>
      </c>
      <c r="W19" s="275">
        <v>987.14929813879348</v>
      </c>
      <c r="X19" s="275">
        <v>148.9243145977473</v>
      </c>
      <c r="Y19" s="275">
        <v>143.16417565795473</v>
      </c>
      <c r="Z19" s="283">
        <f t="shared" si="2"/>
        <v>0.14036030193003268</v>
      </c>
      <c r="AA19" s="145">
        <f t="shared" si="3"/>
        <v>0.6436782404963779</v>
      </c>
      <c r="AB19" s="145">
        <f t="shared" si="4"/>
        <v>0.19264482805215194</v>
      </c>
      <c r="AC19" s="145">
        <f t="shared" si="5"/>
        <v>0.14543586377032136</v>
      </c>
      <c r="AD19" s="145">
        <f t="shared" si="6"/>
        <v>0.43417334088759679</v>
      </c>
    </row>
    <row r="20" spans="2:33" x14ac:dyDescent="0.25">
      <c r="B20" s="132">
        <v>2017</v>
      </c>
      <c r="C20" s="273" t="s">
        <v>164</v>
      </c>
      <c r="D20" s="274"/>
      <c r="E20" s="274">
        <v>6236.8209319140024</v>
      </c>
      <c r="F20" s="275"/>
      <c r="G20" s="275">
        <v>317.43609802889091</v>
      </c>
      <c r="H20" s="275"/>
      <c r="I20" s="275">
        <v>645.87405550654762</v>
      </c>
      <c r="J20" s="275"/>
      <c r="K20" s="275">
        <v>4188.7445915343469</v>
      </c>
      <c r="L20" s="275"/>
      <c r="M20" s="275">
        <v>883.74095197383781</v>
      </c>
      <c r="N20" s="275"/>
      <c r="O20" s="275">
        <v>201.02523487037988</v>
      </c>
      <c r="P20" s="274">
        <v>2557.1017032497216</v>
      </c>
      <c r="Q20" s="338"/>
      <c r="R20" s="132" t="str">
        <f t="shared" si="0"/>
        <v>Nov - Ene 2017</v>
      </c>
      <c r="S20" s="274">
        <f t="shared" si="1"/>
        <v>8793.9226351637244</v>
      </c>
      <c r="T20" s="275">
        <v>50.755295095349638</v>
      </c>
      <c r="U20" s="275">
        <v>1124.5145590127693</v>
      </c>
      <c r="V20" s="275">
        <v>122.99839853788444</v>
      </c>
      <c r="W20" s="275">
        <v>972.24498323614637</v>
      </c>
      <c r="X20" s="275">
        <v>140.09010511909347</v>
      </c>
      <c r="Y20" s="275">
        <v>146.49836224847866</v>
      </c>
      <c r="Z20" s="283">
        <f t="shared" si="2"/>
        <v>0.13785030297604767</v>
      </c>
      <c r="AA20" s="145">
        <f t="shared" si="3"/>
        <v>0.6351795022801191</v>
      </c>
      <c r="AB20" s="145">
        <f t="shared" si="4"/>
        <v>0.18838344258414466</v>
      </c>
      <c r="AC20" s="145">
        <f t="shared" si="5"/>
        <v>0.13682931783380911</v>
      </c>
      <c r="AD20" s="145">
        <f t="shared" si="6"/>
        <v>0.4215493953878876</v>
      </c>
    </row>
    <row r="21" spans="2:33" x14ac:dyDescent="0.25">
      <c r="B21" s="132">
        <v>2018</v>
      </c>
      <c r="C21" s="276" t="s">
        <v>163</v>
      </c>
      <c r="D21" s="274"/>
      <c r="E21" s="274">
        <v>6249.5089257017908</v>
      </c>
      <c r="F21" s="275"/>
      <c r="G21" s="275">
        <v>315.92763383716078</v>
      </c>
      <c r="H21" s="275"/>
      <c r="I21" s="275">
        <v>634.95034400716816</v>
      </c>
      <c r="J21" s="275"/>
      <c r="K21" s="275">
        <v>4218.8950292814843</v>
      </c>
      <c r="L21" s="275"/>
      <c r="M21" s="275">
        <v>887.150227455562</v>
      </c>
      <c r="N21" s="275"/>
      <c r="O21" s="275">
        <v>192.58569112041536</v>
      </c>
      <c r="P21" s="274">
        <v>2537.5708155710859</v>
      </c>
      <c r="Q21" s="338"/>
      <c r="R21" s="132" t="str">
        <f t="shared" si="0"/>
        <v>Dic - Feb 2018</v>
      </c>
      <c r="S21" s="274">
        <f t="shared" si="1"/>
        <v>8787.0797412728771</v>
      </c>
      <c r="T21" s="275">
        <v>49.107996698127415</v>
      </c>
      <c r="U21" s="275">
        <v>1105.3159849423062</v>
      </c>
      <c r="V21" s="275">
        <v>121.81136376252853</v>
      </c>
      <c r="W21" s="275">
        <v>987.36322284787866</v>
      </c>
      <c r="X21" s="275">
        <v>132.69101304608722</v>
      </c>
      <c r="Y21" s="275">
        <v>141.28123427415801</v>
      </c>
      <c r="Z21" s="283">
        <f t="shared" si="2"/>
        <v>0.13452932423641895</v>
      </c>
      <c r="AA21" s="145">
        <f t="shared" si="3"/>
        <v>0.63514185533287826</v>
      </c>
      <c r="AB21" s="145">
        <f t="shared" si="4"/>
        <v>0.18964929802397845</v>
      </c>
      <c r="AC21" s="145">
        <f t="shared" si="5"/>
        <v>0.13010947957038677</v>
      </c>
      <c r="AD21" s="145">
        <f t="shared" si="6"/>
        <v>0.42316630827443552</v>
      </c>
    </row>
    <row r="22" spans="2:33" x14ac:dyDescent="0.25">
      <c r="B22" s="132">
        <v>2018</v>
      </c>
      <c r="C22" s="273" t="s">
        <v>162</v>
      </c>
      <c r="D22" s="274"/>
      <c r="E22" s="274">
        <v>6251.7070210714473</v>
      </c>
      <c r="F22" s="275"/>
      <c r="G22" s="275">
        <v>323.70114373603991</v>
      </c>
      <c r="H22" s="275"/>
      <c r="I22" s="275">
        <v>640.57371626688268</v>
      </c>
      <c r="J22" s="275"/>
      <c r="K22" s="275">
        <v>4229.9139680561902</v>
      </c>
      <c r="L22" s="275"/>
      <c r="M22" s="275">
        <v>870.99480587388996</v>
      </c>
      <c r="N22" s="275"/>
      <c r="O22" s="275">
        <v>186.52338713844512</v>
      </c>
      <c r="P22" s="274">
        <v>2507.3737316487977</v>
      </c>
      <c r="Q22" s="338"/>
      <c r="R22" s="132" t="str">
        <f t="shared" si="0"/>
        <v>Ene - Mar 2018</v>
      </c>
      <c r="S22" s="274">
        <f t="shared" si="1"/>
        <v>8759.0807527202451</v>
      </c>
      <c r="T22" s="275">
        <v>45.606546153488743</v>
      </c>
      <c r="U22" s="275">
        <v>1113.4056231210577</v>
      </c>
      <c r="V22" s="275">
        <v>121.06659451400893</v>
      </c>
      <c r="W22" s="275">
        <v>949.18676030085248</v>
      </c>
      <c r="X22" s="275">
        <v>129.79242179202288</v>
      </c>
      <c r="Y22" s="275">
        <v>148.31578576736695</v>
      </c>
      <c r="Z22" s="283">
        <f t="shared" si="2"/>
        <v>0.12349200247395625</v>
      </c>
      <c r="AA22" s="145">
        <f t="shared" si="3"/>
        <v>0.63478833422837577</v>
      </c>
      <c r="AB22" s="145">
        <f t="shared" si="4"/>
        <v>0.18327250426001299</v>
      </c>
      <c r="AC22" s="145">
        <f t="shared" si="5"/>
        <v>0.12969032597941063</v>
      </c>
      <c r="AD22" s="145">
        <f t="shared" si="6"/>
        <v>0.44294633892518648</v>
      </c>
    </row>
    <row r="23" spans="2:33" x14ac:dyDescent="0.25">
      <c r="B23" s="132">
        <v>2018</v>
      </c>
      <c r="C23" s="273" t="s">
        <v>173</v>
      </c>
      <c r="D23" s="274"/>
      <c r="E23" s="274">
        <v>6282.3741534737455</v>
      </c>
      <c r="F23" s="275"/>
      <c r="G23" s="275">
        <v>318.5380003040342</v>
      </c>
      <c r="H23" s="275"/>
      <c r="I23" s="275">
        <v>644.76644634293393</v>
      </c>
      <c r="J23" s="275"/>
      <c r="K23" s="275">
        <v>4251.5969883606012</v>
      </c>
      <c r="L23" s="275"/>
      <c r="M23" s="275">
        <v>887.09113682513066</v>
      </c>
      <c r="N23" s="275"/>
      <c r="O23" s="275">
        <v>180.3815816410455</v>
      </c>
      <c r="P23" s="274">
        <v>2498.7095864684588</v>
      </c>
      <c r="Q23" s="338"/>
      <c r="R23" s="132" t="str">
        <f t="shared" si="0"/>
        <v>Feb - Abr 2018</v>
      </c>
      <c r="S23" s="274">
        <f t="shared" si="1"/>
        <v>8781.0837399422053</v>
      </c>
      <c r="T23" s="275">
        <v>40.051046524069136</v>
      </c>
      <c r="U23" s="275">
        <v>1152.0419860647598</v>
      </c>
      <c r="V23" s="275">
        <v>99.947380962013511</v>
      </c>
      <c r="W23" s="275">
        <v>935.4367230127848</v>
      </c>
      <c r="X23" s="275">
        <v>130.34325790217306</v>
      </c>
      <c r="Y23" s="275">
        <v>140.88919200265812</v>
      </c>
      <c r="Z23" s="283">
        <f t="shared" si="2"/>
        <v>0.1116906578110524</v>
      </c>
      <c r="AA23" s="145">
        <f t="shared" si="3"/>
        <v>0.64116016225560701</v>
      </c>
      <c r="AB23" s="145">
        <f t="shared" si="4"/>
        <v>0.1803413617616737</v>
      </c>
      <c r="AC23" s="145">
        <f t="shared" si="5"/>
        <v>0.12810974209016013</v>
      </c>
      <c r="AD23" s="145">
        <f t="shared" si="6"/>
        <v>0.43853722019204694</v>
      </c>
    </row>
    <row r="24" spans="2:33" x14ac:dyDescent="0.25">
      <c r="B24" s="132">
        <v>2018</v>
      </c>
      <c r="C24" s="273" t="s">
        <v>172</v>
      </c>
      <c r="D24" s="274"/>
      <c r="E24" s="274">
        <v>6288.5897655747985</v>
      </c>
      <c r="F24" s="275"/>
      <c r="G24" s="275">
        <v>313.81226031413456</v>
      </c>
      <c r="H24" s="275"/>
      <c r="I24" s="275">
        <v>651.03897156592939</v>
      </c>
      <c r="J24" s="275"/>
      <c r="K24" s="275">
        <v>4246.0601552336102</v>
      </c>
      <c r="L24" s="275"/>
      <c r="M24" s="275">
        <v>896.78899470283227</v>
      </c>
      <c r="N24" s="275"/>
      <c r="O24" s="275">
        <v>180.88938375829227</v>
      </c>
      <c r="P24" s="274">
        <v>2478.061454842195</v>
      </c>
      <c r="Q24" s="338"/>
      <c r="R24" s="132" t="str">
        <f t="shared" si="0"/>
        <v>Mar - May 2018</v>
      </c>
      <c r="S24" s="274">
        <f t="shared" si="1"/>
        <v>8766.651220416994</v>
      </c>
      <c r="T24" s="275">
        <v>40.602985533240989</v>
      </c>
      <c r="U24" s="275">
        <v>1181.2469130179065</v>
      </c>
      <c r="V24" s="275">
        <v>95.289608560243892</v>
      </c>
      <c r="W24" s="275">
        <v>889.28628936011944</v>
      </c>
      <c r="X24" s="275">
        <v>130.88962439995225</v>
      </c>
      <c r="Y24" s="275">
        <v>140.74603397073184</v>
      </c>
      <c r="Z24" s="283">
        <f t="shared" si="2"/>
        <v>0.11456331523256805</v>
      </c>
      <c r="AA24" s="145">
        <f t="shared" si="3"/>
        <v>0.64468482945618566</v>
      </c>
      <c r="AB24" s="145">
        <f t="shared" si="4"/>
        <v>0.17316967783085432</v>
      </c>
      <c r="AC24" s="145">
        <f t="shared" si="5"/>
        <v>0.12736435493250364</v>
      </c>
      <c r="AD24" s="145">
        <f t="shared" si="6"/>
        <v>0.43759494823206796</v>
      </c>
    </row>
    <row r="25" spans="2:33" x14ac:dyDescent="0.25">
      <c r="B25" s="132">
        <v>2018</v>
      </c>
      <c r="C25" s="273" t="s">
        <v>171</v>
      </c>
      <c r="D25" s="274"/>
      <c r="E25" s="274">
        <v>6301.1869014045096</v>
      </c>
      <c r="F25" s="275"/>
      <c r="G25" s="275">
        <v>310.74501490434716</v>
      </c>
      <c r="H25" s="275"/>
      <c r="I25" s="275">
        <v>641.46829385640126</v>
      </c>
      <c r="J25" s="275"/>
      <c r="K25" s="275">
        <v>4253.3984523557774</v>
      </c>
      <c r="L25" s="275"/>
      <c r="M25" s="275">
        <v>918.25239695880055</v>
      </c>
      <c r="N25" s="275"/>
      <c r="O25" s="275">
        <v>177.32274332918186</v>
      </c>
      <c r="P25" s="274">
        <v>2454.361836360024</v>
      </c>
      <c r="Q25" s="338"/>
      <c r="R25" s="132" t="str">
        <f t="shared" si="0"/>
        <v>Abr - Jun 2018</v>
      </c>
      <c r="S25" s="274">
        <f t="shared" si="1"/>
        <v>8755.5487377645331</v>
      </c>
      <c r="T25" s="275">
        <v>39.713134499790812</v>
      </c>
      <c r="U25" s="275">
        <v>1154.2354819472027</v>
      </c>
      <c r="V25" s="275">
        <v>91.845470076089214</v>
      </c>
      <c r="W25" s="275">
        <v>898.92438649418148</v>
      </c>
      <c r="X25" s="275">
        <v>129.12294891022557</v>
      </c>
      <c r="Y25" s="275">
        <v>140.52041443253398</v>
      </c>
      <c r="Z25" s="283">
        <f t="shared" si="2"/>
        <v>0.1133177658083071</v>
      </c>
      <c r="AA25" s="145">
        <f t="shared" si="3"/>
        <v>0.64277610678335029</v>
      </c>
      <c r="AB25" s="145">
        <f t="shared" si="4"/>
        <v>0.17446973231491619</v>
      </c>
      <c r="AC25" s="145">
        <f t="shared" si="5"/>
        <v>0.12328240245438461</v>
      </c>
      <c r="AD25" s="145">
        <f t="shared" si="6"/>
        <v>0.44210614890090189</v>
      </c>
    </row>
    <row r="26" spans="2:33" x14ac:dyDescent="0.25">
      <c r="B26" s="132">
        <v>2018</v>
      </c>
      <c r="C26" s="273" t="s">
        <v>170</v>
      </c>
      <c r="D26" s="274"/>
      <c r="E26" s="274">
        <v>6288.2113533551264</v>
      </c>
      <c r="F26" s="275"/>
      <c r="G26" s="275">
        <v>305.3681651657397</v>
      </c>
      <c r="H26" s="275"/>
      <c r="I26" s="275">
        <v>643.34027947548361</v>
      </c>
      <c r="J26" s="275"/>
      <c r="K26" s="275">
        <v>4243.5248202397497</v>
      </c>
      <c r="L26" s="275"/>
      <c r="M26" s="275">
        <v>924.11880033734121</v>
      </c>
      <c r="N26" s="275"/>
      <c r="O26" s="275">
        <v>171.85928813681193</v>
      </c>
      <c r="P26" s="274">
        <v>2420.526319167594</v>
      </c>
      <c r="Q26" s="338"/>
      <c r="R26" s="132" t="str">
        <f t="shared" si="0"/>
        <v>May - Jul 2018</v>
      </c>
      <c r="S26" s="274">
        <f t="shared" si="1"/>
        <v>8708.7376725227205</v>
      </c>
      <c r="T26" s="275">
        <v>40.5782728252941</v>
      </c>
      <c r="U26" s="275">
        <v>1140.2612148763728</v>
      </c>
      <c r="V26" s="275">
        <v>86.264169017097998</v>
      </c>
      <c r="W26" s="275">
        <v>871.31867192077596</v>
      </c>
      <c r="X26" s="275">
        <v>135.32631814235617</v>
      </c>
      <c r="Y26" s="275">
        <v>146.77767238569666</v>
      </c>
      <c r="Z26" s="283">
        <f t="shared" si="2"/>
        <v>0.11729640305285005</v>
      </c>
      <c r="AA26" s="145">
        <f t="shared" si="3"/>
        <v>0.63930267971138521</v>
      </c>
      <c r="AB26" s="145">
        <f t="shared" si="4"/>
        <v>0.17035099378040366</v>
      </c>
      <c r="AC26" s="145">
        <f t="shared" si="5"/>
        <v>0.12773320276990779</v>
      </c>
      <c r="AD26" s="145">
        <f t="shared" si="6"/>
        <v>0.46064233146401812</v>
      </c>
    </row>
    <row r="27" spans="2:33" x14ac:dyDescent="0.25">
      <c r="B27" s="132">
        <v>2018</v>
      </c>
      <c r="C27" s="273" t="s">
        <v>169</v>
      </c>
      <c r="D27" s="274"/>
      <c r="E27" s="274">
        <v>6296.6057663445763</v>
      </c>
      <c r="F27" s="275"/>
      <c r="G27" s="275">
        <v>315.16689493098363</v>
      </c>
      <c r="H27" s="275"/>
      <c r="I27" s="275">
        <v>647.45748504946425</v>
      </c>
      <c r="J27" s="275"/>
      <c r="K27" s="275">
        <v>4246.5695216078229</v>
      </c>
      <c r="L27" s="275"/>
      <c r="M27" s="275">
        <v>918.8531082982829</v>
      </c>
      <c r="N27" s="275"/>
      <c r="O27" s="275">
        <v>168.55875645802305</v>
      </c>
      <c r="P27" s="274">
        <v>2410.5885814964272</v>
      </c>
      <c r="Q27" s="338"/>
      <c r="R27" s="132" t="str">
        <f t="shared" si="0"/>
        <v>Jun - Ago 2018</v>
      </c>
      <c r="S27" s="274">
        <f t="shared" si="1"/>
        <v>8707.194347841003</v>
      </c>
      <c r="T27" s="275">
        <v>39.17880953158123</v>
      </c>
      <c r="U27" s="275">
        <v>1131.2341114038413</v>
      </c>
      <c r="V27" s="275">
        <v>81.38573634684208</v>
      </c>
      <c r="W27" s="275">
        <v>874.14932228300836</v>
      </c>
      <c r="X27" s="275">
        <v>129.8401955626656</v>
      </c>
      <c r="Y27" s="275">
        <v>154.80040636848892</v>
      </c>
      <c r="Z27" s="283">
        <f t="shared" si="2"/>
        <v>0.11056662755656547</v>
      </c>
      <c r="AA27" s="145">
        <f t="shared" si="3"/>
        <v>0.63599227300534378</v>
      </c>
      <c r="AB27" s="145">
        <f t="shared" si="4"/>
        <v>0.17070832219696933</v>
      </c>
      <c r="AC27" s="145">
        <f t="shared" si="5"/>
        <v>0.12381140900264749</v>
      </c>
      <c r="AD27" s="145">
        <f t="shared" si="6"/>
        <v>0.47872590037456936</v>
      </c>
    </row>
    <row r="28" spans="2:33" x14ac:dyDescent="0.25">
      <c r="B28" s="132">
        <v>2018</v>
      </c>
      <c r="C28" s="273" t="s">
        <v>168</v>
      </c>
      <c r="D28" s="274"/>
      <c r="E28" s="274">
        <v>6295.1828935339145</v>
      </c>
      <c r="F28" s="275"/>
      <c r="G28" s="275">
        <v>313.27138172771981</v>
      </c>
      <c r="H28" s="275"/>
      <c r="I28" s="275">
        <v>670.2118670815205</v>
      </c>
      <c r="J28" s="275"/>
      <c r="K28" s="275">
        <v>4232.7551736461328</v>
      </c>
      <c r="L28" s="275"/>
      <c r="M28" s="275">
        <v>918.34391335353382</v>
      </c>
      <c r="N28" s="275"/>
      <c r="O28" s="275">
        <v>160.60055772500809</v>
      </c>
      <c r="P28" s="274">
        <v>2415.7248271617777</v>
      </c>
      <c r="Q28" s="338"/>
      <c r="R28" s="132" t="str">
        <f t="shared" si="0"/>
        <v>Jul - Sep 2018</v>
      </c>
      <c r="S28" s="274">
        <f t="shared" si="1"/>
        <v>8710.9077206956918</v>
      </c>
      <c r="T28" s="275">
        <v>34.087596958398741</v>
      </c>
      <c r="U28" s="275">
        <v>1165.7684036387336</v>
      </c>
      <c r="V28" s="275">
        <v>81.222183280540563</v>
      </c>
      <c r="W28" s="275">
        <v>853.36130517364302</v>
      </c>
      <c r="X28" s="275">
        <v>130.17344576603512</v>
      </c>
      <c r="Y28" s="275">
        <v>151.11189234442674</v>
      </c>
      <c r="Z28" s="283">
        <f t="shared" si="2"/>
        <v>9.8133628465095948E-2</v>
      </c>
      <c r="AA28" s="145">
        <f t="shared" si="3"/>
        <v>0.63495693403143338</v>
      </c>
      <c r="AB28" s="145">
        <f t="shared" si="4"/>
        <v>0.16778249352473815</v>
      </c>
      <c r="AC28" s="145">
        <f t="shared" si="5"/>
        <v>0.12415001490804181</v>
      </c>
      <c r="AD28" s="145">
        <f t="shared" si="6"/>
        <v>0.48477977799977562</v>
      </c>
      <c r="AG28" s="257" t="s">
        <v>511</v>
      </c>
    </row>
    <row r="29" spans="2:33" x14ac:dyDescent="0.25">
      <c r="B29" s="132">
        <v>2018</v>
      </c>
      <c r="C29" s="273" t="s">
        <v>167</v>
      </c>
      <c r="D29" s="274"/>
      <c r="E29" s="274">
        <v>6268.5673865264816</v>
      </c>
      <c r="F29" s="275"/>
      <c r="G29" s="275">
        <v>329.56272653969256</v>
      </c>
      <c r="H29" s="275"/>
      <c r="I29" s="275">
        <v>647.16224032272248</v>
      </c>
      <c r="J29" s="275"/>
      <c r="K29" s="275">
        <v>4221.6511049075389</v>
      </c>
      <c r="L29" s="275"/>
      <c r="M29" s="275">
        <v>915.45950902362313</v>
      </c>
      <c r="N29" s="275"/>
      <c r="O29" s="275">
        <v>154.73180573290534</v>
      </c>
      <c r="P29" s="274">
        <v>2505.2690881861658</v>
      </c>
      <c r="Q29" s="338"/>
      <c r="R29" s="132" t="str">
        <f t="shared" si="0"/>
        <v>Ago - Oct 2018</v>
      </c>
      <c r="S29" s="274">
        <f t="shared" si="1"/>
        <v>8773.836474712647</v>
      </c>
      <c r="T29" s="275">
        <v>45.611152410127218</v>
      </c>
      <c r="U29" s="275">
        <v>1199.7234976506975</v>
      </c>
      <c r="V29" s="275">
        <v>90.359691031173455</v>
      </c>
      <c r="W29" s="275">
        <v>885.54924909762826</v>
      </c>
      <c r="X29" s="275">
        <v>127.82962654798285</v>
      </c>
      <c r="Y29" s="275">
        <v>156.19587144855657</v>
      </c>
      <c r="Z29" s="283">
        <f t="shared" si="2"/>
        <v>0.12157336896108324</v>
      </c>
      <c r="AA29" s="145">
        <f t="shared" si="3"/>
        <v>0.64959270245226386</v>
      </c>
      <c r="AB29" s="145">
        <f t="shared" si="4"/>
        <v>0.17339230649198303</v>
      </c>
      <c r="AC29" s="145">
        <f t="shared" si="5"/>
        <v>0.1225255992701836</v>
      </c>
      <c r="AD29" s="145">
        <f t="shared" si="6"/>
        <v>0.502354350903919</v>
      </c>
    </row>
    <row r="30" spans="2:33" x14ac:dyDescent="0.25">
      <c r="B30" s="132">
        <v>2018</v>
      </c>
      <c r="C30" s="273" t="s">
        <v>166</v>
      </c>
      <c r="D30" s="274"/>
      <c r="E30" s="274">
        <v>6243.8371016643405</v>
      </c>
      <c r="F30" s="275"/>
      <c r="G30" s="275">
        <v>326.97394691785684</v>
      </c>
      <c r="H30" s="275"/>
      <c r="I30" s="275">
        <v>638.66130297553434</v>
      </c>
      <c r="J30" s="275"/>
      <c r="K30" s="275">
        <v>4207.3743360918261</v>
      </c>
      <c r="L30" s="275"/>
      <c r="M30" s="275">
        <v>912.18238226664994</v>
      </c>
      <c r="N30" s="275"/>
      <c r="O30" s="275">
        <v>158.64513341247351</v>
      </c>
      <c r="P30" s="274">
        <v>2585.1542559407626</v>
      </c>
      <c r="Q30" s="338"/>
      <c r="R30" s="132" t="str">
        <f t="shared" si="0"/>
        <v>Sep - Nov 2018</v>
      </c>
      <c r="S30" s="274">
        <f t="shared" si="1"/>
        <v>8828.991357605104</v>
      </c>
      <c r="T30" s="275">
        <v>49.847612969971138</v>
      </c>
      <c r="U30" s="275">
        <v>1231.5779828341158</v>
      </c>
      <c r="V30" s="275">
        <v>107.37638837238094</v>
      </c>
      <c r="W30" s="275">
        <v>906.11200907449165</v>
      </c>
      <c r="X30" s="275">
        <v>133.53479479928507</v>
      </c>
      <c r="Y30" s="275">
        <v>156.70546789051798</v>
      </c>
      <c r="Z30" s="283">
        <f t="shared" si="2"/>
        <v>0.13228439738110989</v>
      </c>
      <c r="AA30" s="145">
        <f t="shared" si="3"/>
        <v>0.65851358816952144</v>
      </c>
      <c r="AB30" s="145">
        <f t="shared" si="4"/>
        <v>0.17720043584960821</v>
      </c>
      <c r="AC30" s="145">
        <f t="shared" si="5"/>
        <v>0.12769685506549289</v>
      </c>
      <c r="AD30" s="145">
        <f t="shared" si="6"/>
        <v>0.49692458883233287</v>
      </c>
    </row>
    <row r="31" spans="2:33" x14ac:dyDescent="0.25">
      <c r="B31" s="132">
        <v>2018</v>
      </c>
      <c r="C31" s="273" t="s">
        <v>165</v>
      </c>
      <c r="D31" s="274"/>
      <c r="E31" s="274">
        <v>6320.4695195412914</v>
      </c>
      <c r="F31" s="275"/>
      <c r="G31" s="275">
        <v>337.68947594352329</v>
      </c>
      <c r="H31" s="275"/>
      <c r="I31" s="275">
        <v>613.46313467409755</v>
      </c>
      <c r="J31" s="275"/>
      <c r="K31" s="275">
        <v>4275.0300819306067</v>
      </c>
      <c r="L31" s="275"/>
      <c r="M31" s="275">
        <v>930.61767270630526</v>
      </c>
      <c r="N31" s="275"/>
      <c r="O31" s="275">
        <v>163.66915428675881</v>
      </c>
      <c r="P31" s="274">
        <v>2593.7789407825016</v>
      </c>
      <c r="Q31" s="338"/>
      <c r="R31" s="132" t="str">
        <f t="shared" si="0"/>
        <v>Oct - Dic 2018</v>
      </c>
      <c r="S31" s="274">
        <f t="shared" si="1"/>
        <v>8914.2484603237936</v>
      </c>
      <c r="T31" s="275">
        <v>58.430361567992243</v>
      </c>
      <c r="U31" s="275">
        <v>1193.0097735092831</v>
      </c>
      <c r="V31" s="275">
        <v>109.41676859107172</v>
      </c>
      <c r="W31" s="275">
        <v>942.33402826504187</v>
      </c>
      <c r="X31" s="275">
        <v>132.91045663357633</v>
      </c>
      <c r="Y31" s="275">
        <v>157.67755221553668</v>
      </c>
      <c r="Z31" s="283">
        <f t="shared" si="2"/>
        <v>0.1475067796025076</v>
      </c>
      <c r="AA31" s="145">
        <f t="shared" si="3"/>
        <v>0.66040833942480415</v>
      </c>
      <c r="AB31" s="145">
        <f t="shared" si="4"/>
        <v>0.18061496348770353</v>
      </c>
      <c r="AC31" s="145">
        <f t="shared" si="5"/>
        <v>0.12497126589032691</v>
      </c>
      <c r="AD31" s="145">
        <f t="shared" si="6"/>
        <v>0.49067735571894006</v>
      </c>
    </row>
    <row r="32" spans="2:33" x14ac:dyDescent="0.25">
      <c r="B32" s="132">
        <v>2018</v>
      </c>
      <c r="C32" s="273" t="s">
        <v>164</v>
      </c>
      <c r="D32" s="274"/>
      <c r="E32" s="274">
        <v>6374.7502125972114</v>
      </c>
      <c r="F32" s="275"/>
      <c r="G32" s="275">
        <v>325.03569446261855</v>
      </c>
      <c r="H32" s="275"/>
      <c r="I32" s="275">
        <v>625.97665777138673</v>
      </c>
      <c r="J32" s="275"/>
      <c r="K32" s="275">
        <v>4335.8864624410207</v>
      </c>
      <c r="L32" s="275"/>
      <c r="M32" s="275">
        <v>920.82503447495208</v>
      </c>
      <c r="N32" s="275"/>
      <c r="O32" s="275">
        <v>167.02636344723348</v>
      </c>
      <c r="P32" s="274">
        <v>2553.2013906628281</v>
      </c>
      <c r="Q32" s="338"/>
      <c r="R32" s="132" t="str">
        <f t="shared" si="0"/>
        <v>Nov - Ene 2018</v>
      </c>
      <c r="S32" s="274">
        <f t="shared" si="1"/>
        <v>8927.9516032600404</v>
      </c>
      <c r="T32" s="275">
        <v>48.464810876043472</v>
      </c>
      <c r="U32" s="275">
        <v>1183.5046885290133</v>
      </c>
      <c r="V32" s="275">
        <v>103.55120074811829</v>
      </c>
      <c r="W32" s="275">
        <v>938.94242989769202</v>
      </c>
      <c r="X32" s="275">
        <v>126.0322279124716</v>
      </c>
      <c r="Y32" s="275">
        <v>152.7060326994893</v>
      </c>
      <c r="Z32" s="283">
        <f t="shared" si="2"/>
        <v>0.129758354227926</v>
      </c>
      <c r="AA32" s="145">
        <f t="shared" si="3"/>
        <v>0.65405741316359189</v>
      </c>
      <c r="AB32" s="145">
        <f t="shared" si="4"/>
        <v>0.17800433892015613</v>
      </c>
      <c r="AC32" s="145">
        <f t="shared" si="5"/>
        <v>0.1203910336592089</v>
      </c>
      <c r="AD32" s="145">
        <f t="shared" si="6"/>
        <v>0.47760575575023578</v>
      </c>
    </row>
    <row r="33" spans="2:30" x14ac:dyDescent="0.25">
      <c r="B33" s="132">
        <v>2019</v>
      </c>
      <c r="C33" s="276" t="s">
        <v>163</v>
      </c>
      <c r="D33" s="274"/>
      <c r="E33" s="274">
        <v>6422.2554246215977</v>
      </c>
      <c r="F33" s="275"/>
      <c r="G33" s="275">
        <v>331.47028508401513</v>
      </c>
      <c r="H33" s="275"/>
      <c r="I33" s="275">
        <v>644.24024119596277</v>
      </c>
      <c r="J33" s="275"/>
      <c r="K33" s="275">
        <v>4351.4206499355068</v>
      </c>
      <c r="L33" s="275"/>
      <c r="M33" s="275">
        <v>921.25022035946301</v>
      </c>
      <c r="N33" s="275"/>
      <c r="O33" s="275">
        <v>173.87402804665007</v>
      </c>
      <c r="P33" s="274">
        <v>2485.3820703407159</v>
      </c>
      <c r="Q33" s="338"/>
      <c r="R33" s="132" t="str">
        <f t="shared" si="0"/>
        <v>Dic - Feb 2019</v>
      </c>
      <c r="S33" s="274">
        <f t="shared" si="1"/>
        <v>8907.6374949623132</v>
      </c>
      <c r="T33" s="275">
        <v>47.75514629668384</v>
      </c>
      <c r="U33" s="275">
        <v>1153.9333261059585</v>
      </c>
      <c r="V33" s="275">
        <v>93.034637480640839</v>
      </c>
      <c r="W33" s="275">
        <v>926.21155782962694</v>
      </c>
      <c r="X33" s="275">
        <v>119.98652648323086</v>
      </c>
      <c r="Y33" s="275">
        <v>144.46087614457471</v>
      </c>
      <c r="Z33" s="283">
        <f t="shared" si="2"/>
        <v>0.12592812175811893</v>
      </c>
      <c r="AA33" s="145">
        <f t="shared" si="3"/>
        <v>0.64172521890497125</v>
      </c>
      <c r="AB33" s="145">
        <f t="shared" si="4"/>
        <v>0.1754975567389605</v>
      </c>
      <c r="AC33" s="145">
        <f t="shared" si="5"/>
        <v>0.11523462540777767</v>
      </c>
      <c r="AD33" s="145">
        <f t="shared" si="6"/>
        <v>0.4538015600632867</v>
      </c>
    </row>
    <row r="34" spans="2:30" x14ac:dyDescent="0.25">
      <c r="B34" s="132">
        <v>2019</v>
      </c>
      <c r="C34" s="273" t="s">
        <v>162</v>
      </c>
      <c r="D34" s="274"/>
      <c r="E34" s="274">
        <v>6400.1266100850598</v>
      </c>
      <c r="F34" s="275"/>
      <c r="G34" s="275">
        <v>318.28476319001072</v>
      </c>
      <c r="H34" s="275"/>
      <c r="I34" s="275">
        <v>640.43317873115154</v>
      </c>
      <c r="J34" s="275"/>
      <c r="K34" s="275">
        <v>4364.8410999701628</v>
      </c>
      <c r="L34" s="275"/>
      <c r="M34" s="275">
        <v>913.44191296036922</v>
      </c>
      <c r="N34" s="275"/>
      <c r="O34" s="275">
        <v>163.12565523336531</v>
      </c>
      <c r="P34" s="274">
        <v>2478.9833434985767</v>
      </c>
      <c r="Q34" s="338"/>
      <c r="R34" s="132" t="str">
        <f t="shared" si="0"/>
        <v>Ene - Mar 2019</v>
      </c>
      <c r="S34" s="274">
        <f t="shared" si="1"/>
        <v>8879.1099535836365</v>
      </c>
      <c r="T34" s="275">
        <v>46.246618759598469</v>
      </c>
      <c r="U34" s="275">
        <v>1181.2497458928431</v>
      </c>
      <c r="V34" s="275">
        <v>87.083163139824862</v>
      </c>
      <c r="W34" s="275">
        <v>894.12014515252872</v>
      </c>
      <c r="X34" s="275">
        <v>123.53782100403012</v>
      </c>
      <c r="Y34" s="275">
        <v>146.74584954975168</v>
      </c>
      <c r="Z34" s="283">
        <f t="shared" si="2"/>
        <v>0.12686594638919552</v>
      </c>
      <c r="AA34" s="145">
        <f t="shared" si="3"/>
        <v>0.6484387210999738</v>
      </c>
      <c r="AB34" s="145">
        <f t="shared" si="4"/>
        <v>0.17001839402824293</v>
      </c>
      <c r="AC34" s="145">
        <f t="shared" si="5"/>
        <v>0.11913233880834097</v>
      </c>
      <c r="AD34" s="145">
        <f t="shared" si="6"/>
        <v>0.47357000332270299</v>
      </c>
    </row>
    <row r="35" spans="2:30" x14ac:dyDescent="0.25">
      <c r="B35" s="132">
        <v>2019</v>
      </c>
      <c r="C35" s="273" t="s">
        <v>173</v>
      </c>
      <c r="D35" s="274"/>
      <c r="E35" s="274">
        <v>6418.0231777234012</v>
      </c>
      <c r="F35" s="275"/>
      <c r="G35" s="275">
        <v>328.49490243476293</v>
      </c>
      <c r="H35" s="275"/>
      <c r="I35" s="275">
        <v>651.77952120888426</v>
      </c>
      <c r="J35" s="275"/>
      <c r="K35" s="275">
        <v>4340.0695638706948</v>
      </c>
      <c r="L35" s="275"/>
      <c r="M35" s="275">
        <v>938.49763527145842</v>
      </c>
      <c r="N35" s="275"/>
      <c r="O35" s="275">
        <v>159.18155493760059</v>
      </c>
      <c r="P35" s="274">
        <v>2497.9937021217688</v>
      </c>
      <c r="Q35" s="338"/>
      <c r="R35" s="132" t="str">
        <f t="shared" si="0"/>
        <v>Feb - Abr 2019</v>
      </c>
      <c r="S35" s="274">
        <f t="shared" si="1"/>
        <v>8916.0168798451705</v>
      </c>
      <c r="T35" s="275">
        <v>51.091437181888367</v>
      </c>
      <c r="U35" s="275">
        <v>1205.7455169404843</v>
      </c>
      <c r="V35" s="275">
        <v>90.885464453938354</v>
      </c>
      <c r="W35" s="275">
        <v>880.14750695561588</v>
      </c>
      <c r="X35" s="275">
        <v>123.02069514882959</v>
      </c>
      <c r="Y35" s="275">
        <v>147.10308144101199</v>
      </c>
      <c r="Z35" s="283">
        <f t="shared" si="2"/>
        <v>0.13459767080524079</v>
      </c>
      <c r="AA35" s="145">
        <f t="shared" si="3"/>
        <v>0.64911400502130245</v>
      </c>
      <c r="AB35" s="145">
        <f t="shared" si="4"/>
        <v>0.16860362222759001</v>
      </c>
      <c r="AC35" s="145">
        <f t="shared" si="5"/>
        <v>0.11589125842049461</v>
      </c>
      <c r="AD35" s="145">
        <f t="shared" si="6"/>
        <v>0.4802822733138043</v>
      </c>
    </row>
    <row r="36" spans="2:30" x14ac:dyDescent="0.25">
      <c r="B36" s="132">
        <v>2019</v>
      </c>
      <c r="C36" s="273" t="s">
        <v>172</v>
      </c>
      <c r="D36" s="274"/>
      <c r="E36" s="274">
        <v>6425.1635961309539</v>
      </c>
      <c r="F36" s="275"/>
      <c r="G36" s="275">
        <v>313.91245893717041</v>
      </c>
      <c r="H36" s="275"/>
      <c r="I36" s="275">
        <v>653.08722837553137</v>
      </c>
      <c r="J36" s="275"/>
      <c r="K36" s="275">
        <v>4325.9064039283467</v>
      </c>
      <c r="L36" s="275"/>
      <c r="M36" s="275">
        <v>961.53022914602627</v>
      </c>
      <c r="N36" s="275"/>
      <c r="O36" s="275">
        <v>170.72727574387878</v>
      </c>
      <c r="P36" s="274">
        <v>2500.1111444908938</v>
      </c>
      <c r="Q36" s="338"/>
      <c r="R36" s="132" t="str">
        <f t="shared" si="0"/>
        <v>Mar - May 2019</v>
      </c>
      <c r="S36" s="274">
        <f t="shared" si="1"/>
        <v>8925.2747406218477</v>
      </c>
      <c r="T36" s="275">
        <v>46.571001894112136</v>
      </c>
      <c r="U36" s="275">
        <v>1215.993892976428</v>
      </c>
      <c r="V36" s="275">
        <v>97.633441217178202</v>
      </c>
      <c r="W36" s="275">
        <v>863.42876723586539</v>
      </c>
      <c r="X36" s="275">
        <v>123.92406812605628</v>
      </c>
      <c r="Y36" s="275">
        <v>152.55997304125398</v>
      </c>
      <c r="Z36" s="283">
        <f t="shared" si="2"/>
        <v>0.12919039832429041</v>
      </c>
      <c r="AA36" s="145">
        <f t="shared" si="3"/>
        <v>0.65058379707824832</v>
      </c>
      <c r="AB36" s="145">
        <f t="shared" si="4"/>
        <v>0.16638523794603111</v>
      </c>
      <c r="AC36" s="145">
        <f t="shared" si="5"/>
        <v>0.11416792806246837</v>
      </c>
      <c r="AD36" s="145">
        <f t="shared" si="6"/>
        <v>0.47190222817185812</v>
      </c>
    </row>
    <row r="37" spans="2:30" x14ac:dyDescent="0.25">
      <c r="B37" s="132">
        <v>2019</v>
      </c>
      <c r="C37" s="273" t="s">
        <v>171</v>
      </c>
      <c r="D37" s="274"/>
      <c r="E37" s="274">
        <v>6412.0009088573679</v>
      </c>
      <c r="F37" s="275"/>
      <c r="G37" s="275">
        <v>319.90504224293824</v>
      </c>
      <c r="H37" s="275"/>
      <c r="I37" s="275">
        <v>659.09368562708744</v>
      </c>
      <c r="J37" s="275"/>
      <c r="K37" s="275">
        <v>4289.0023939680059</v>
      </c>
      <c r="L37" s="275"/>
      <c r="M37" s="275">
        <v>968.54290120349822</v>
      </c>
      <c r="N37" s="275"/>
      <c r="O37" s="275">
        <v>175.45688581583806</v>
      </c>
      <c r="P37" s="274">
        <v>2510.6068473032474</v>
      </c>
      <c r="Q37" s="338"/>
      <c r="R37" s="132" t="str">
        <f t="shared" si="0"/>
        <v>Abr - Jun 2019</v>
      </c>
      <c r="S37" s="274">
        <f t="shared" si="1"/>
        <v>8922.6077561606144</v>
      </c>
      <c r="T37" s="275">
        <v>47.446705430546189</v>
      </c>
      <c r="U37" s="275">
        <v>1208.3884694196427</v>
      </c>
      <c r="V37" s="275">
        <v>100.03574453369356</v>
      </c>
      <c r="W37" s="275">
        <v>870.71332236201579</v>
      </c>
      <c r="X37" s="275">
        <v>132.81384521095055</v>
      </c>
      <c r="Y37" s="275">
        <v>151.20876034639866</v>
      </c>
      <c r="Z37" s="283">
        <f t="shared" si="2"/>
        <v>0.12915878509095469</v>
      </c>
      <c r="AA37" s="145">
        <f t="shared" si="3"/>
        <v>0.64706828183287524</v>
      </c>
      <c r="AB37" s="145">
        <f t="shared" si="4"/>
        <v>0.16875218911892545</v>
      </c>
      <c r="AC37" s="145">
        <f t="shared" si="5"/>
        <v>0.12059112149023121</v>
      </c>
      <c r="AD37" s="145">
        <f t="shared" si="6"/>
        <v>0.46288540629491737</v>
      </c>
    </row>
    <row r="38" spans="2:30" x14ac:dyDescent="0.25">
      <c r="B38" s="132">
        <v>2019</v>
      </c>
      <c r="C38" s="273" t="s">
        <v>170</v>
      </c>
      <c r="D38" s="274"/>
      <c r="E38" s="274">
        <v>6405.8362832534222</v>
      </c>
      <c r="F38" s="275"/>
      <c r="G38" s="275">
        <v>301.97818140647786</v>
      </c>
      <c r="H38" s="275"/>
      <c r="I38" s="275">
        <v>660.78054380118704</v>
      </c>
      <c r="J38" s="275"/>
      <c r="K38" s="275">
        <v>4285.215803835823</v>
      </c>
      <c r="L38" s="275"/>
      <c r="M38" s="275">
        <v>1002.7279520834995</v>
      </c>
      <c r="N38" s="275"/>
      <c r="O38" s="275">
        <v>155.1338021264342</v>
      </c>
      <c r="P38" s="274">
        <v>2504.7217459490507</v>
      </c>
      <c r="Q38" s="338"/>
      <c r="R38" s="132" t="str">
        <f t="shared" si="0"/>
        <v>May - Jul 2019</v>
      </c>
      <c r="S38" s="274">
        <f t="shared" si="1"/>
        <v>8910.5580292024733</v>
      </c>
      <c r="T38" s="275">
        <v>39.244316805110081</v>
      </c>
      <c r="U38" s="275">
        <v>1202.1437378142741</v>
      </c>
      <c r="V38" s="275">
        <v>95.032707569754336</v>
      </c>
      <c r="W38" s="275">
        <v>873.2568895983261</v>
      </c>
      <c r="X38" s="275">
        <v>139.39095654771282</v>
      </c>
      <c r="Y38" s="275">
        <v>155.65313761387341</v>
      </c>
      <c r="Z38" s="283">
        <f t="shared" si="2"/>
        <v>0.11501092985016233</v>
      </c>
      <c r="AA38" s="145">
        <f t="shared" si="3"/>
        <v>0.64529930157538029</v>
      </c>
      <c r="AB38" s="145">
        <f t="shared" si="4"/>
        <v>0.16928593820217996</v>
      </c>
      <c r="AC38" s="145">
        <f t="shared" si="5"/>
        <v>0.1220459231471509</v>
      </c>
      <c r="AD38" s="145">
        <f t="shared" si="6"/>
        <v>0.50083551691051298</v>
      </c>
    </row>
    <row r="39" spans="2:30" x14ac:dyDescent="0.25">
      <c r="B39" s="132">
        <v>2019</v>
      </c>
      <c r="C39" s="273" t="s">
        <v>169</v>
      </c>
      <c r="D39" s="274"/>
      <c r="E39" s="274">
        <v>6408.2244217385514</v>
      </c>
      <c r="F39" s="275"/>
      <c r="G39" s="275">
        <v>300.82226981224079</v>
      </c>
      <c r="H39" s="275"/>
      <c r="I39" s="275">
        <v>665.62977989446449</v>
      </c>
      <c r="J39" s="275"/>
      <c r="K39" s="275">
        <v>4277.0663999745939</v>
      </c>
      <c r="L39" s="275"/>
      <c r="M39" s="275">
        <v>1003.6725902535289</v>
      </c>
      <c r="N39" s="275"/>
      <c r="O39" s="275">
        <v>161.03338180372373</v>
      </c>
      <c r="P39" s="274">
        <v>2519.8247539375111</v>
      </c>
      <c r="Q39" s="338"/>
      <c r="R39" s="132" t="str">
        <f t="shared" si="0"/>
        <v>Jun - Ago 2019</v>
      </c>
      <c r="S39" s="274">
        <f t="shared" si="1"/>
        <v>8928.0491756760621</v>
      </c>
      <c r="T39" s="275">
        <v>44.215753341446771</v>
      </c>
      <c r="U39" s="275">
        <v>1211.2691408928674</v>
      </c>
      <c r="V39" s="275">
        <v>86.297334004646515</v>
      </c>
      <c r="W39" s="275">
        <v>877.43537902472303</v>
      </c>
      <c r="X39" s="275">
        <v>146.46216623636622</v>
      </c>
      <c r="Y39" s="275">
        <v>154.14498043746102</v>
      </c>
      <c r="Z39" s="283">
        <f t="shared" si="2"/>
        <v>0.12814748049304728</v>
      </c>
      <c r="AA39" s="145">
        <f t="shared" si="3"/>
        <v>0.6453566185571451</v>
      </c>
      <c r="AB39" s="145">
        <f t="shared" si="4"/>
        <v>0.17022700091007947</v>
      </c>
      <c r="AC39" s="145">
        <f t="shared" si="5"/>
        <v>0.12734348337003151</v>
      </c>
      <c r="AD39" s="145">
        <f t="shared" si="6"/>
        <v>0.4890722172085667</v>
      </c>
    </row>
    <row r="40" spans="2:30" x14ac:dyDescent="0.25">
      <c r="B40" s="132">
        <v>2019</v>
      </c>
      <c r="C40" s="273" t="s">
        <v>168</v>
      </c>
      <c r="D40" s="274"/>
      <c r="E40" s="274">
        <v>6470.6374345275035</v>
      </c>
      <c r="F40" s="275"/>
      <c r="G40" s="275">
        <v>309.9353285852269</v>
      </c>
      <c r="H40" s="275"/>
      <c r="I40" s="275">
        <v>659.04772538701798</v>
      </c>
      <c r="J40" s="275"/>
      <c r="K40" s="275">
        <v>4331.3529195828241</v>
      </c>
      <c r="L40" s="275"/>
      <c r="M40" s="275">
        <v>999.01900784651309</v>
      </c>
      <c r="N40" s="275"/>
      <c r="O40" s="275">
        <v>171.28245312592071</v>
      </c>
      <c r="P40" s="274">
        <v>2529.4535208178704</v>
      </c>
      <c r="Q40" s="338"/>
      <c r="R40" s="132" t="str">
        <f t="shared" si="0"/>
        <v>Jul - Sep 2019</v>
      </c>
      <c r="S40" s="274">
        <f t="shared" si="1"/>
        <v>9000.0909553453748</v>
      </c>
      <c r="T40" s="275">
        <v>47.152020476258436</v>
      </c>
      <c r="U40" s="275">
        <v>1239.2261332456526</v>
      </c>
      <c r="V40" s="275">
        <v>83.183293123434069</v>
      </c>
      <c r="W40" s="275">
        <v>853.32237645168721</v>
      </c>
      <c r="X40" s="275">
        <v>140.8641781736099</v>
      </c>
      <c r="Y40" s="275">
        <v>165.70551934722809</v>
      </c>
      <c r="Z40" s="283">
        <f t="shared" si="2"/>
        <v>0.13204618029786189</v>
      </c>
      <c r="AA40" s="145">
        <f t="shared" si="3"/>
        <v>0.65281736226314002</v>
      </c>
      <c r="AB40" s="145">
        <f t="shared" si="4"/>
        <v>0.16458550009956249</v>
      </c>
      <c r="AC40" s="145">
        <f t="shared" si="5"/>
        <v>0.12357773138617306</v>
      </c>
      <c r="AD40" s="145">
        <f t="shared" si="6"/>
        <v>0.49172532221585891</v>
      </c>
    </row>
    <row r="41" spans="2:30" x14ac:dyDescent="0.25">
      <c r="B41" s="132">
        <v>2019</v>
      </c>
      <c r="C41" s="273" t="s">
        <v>167</v>
      </c>
      <c r="D41" s="274"/>
      <c r="E41" s="274">
        <v>6425.2737142711212</v>
      </c>
      <c r="F41" s="275"/>
      <c r="G41" s="275">
        <v>317.07275268970727</v>
      </c>
      <c r="H41" s="275"/>
      <c r="I41" s="275">
        <v>624.94553302649126</v>
      </c>
      <c r="J41" s="275"/>
      <c r="K41" s="275">
        <v>4342.1368823715866</v>
      </c>
      <c r="L41" s="275"/>
      <c r="M41" s="275">
        <v>962.66420205811676</v>
      </c>
      <c r="N41" s="275"/>
      <c r="O41" s="275">
        <v>178.45434412521968</v>
      </c>
      <c r="P41" s="274">
        <v>2569.0867145122343</v>
      </c>
      <c r="Q41" s="338"/>
      <c r="R41" s="132" t="str">
        <f t="shared" si="0"/>
        <v>Ago - Oct 2019</v>
      </c>
      <c r="S41" s="274">
        <f t="shared" si="1"/>
        <v>8994.360428783355</v>
      </c>
      <c r="T41" s="275">
        <v>57.847992867833547</v>
      </c>
      <c r="U41" s="275">
        <v>1270.2131654032355</v>
      </c>
      <c r="V41" s="275">
        <v>75.318344824465711</v>
      </c>
      <c r="W41" s="275">
        <v>866.9471534644764</v>
      </c>
      <c r="X41" s="275">
        <v>143.42619442981737</v>
      </c>
      <c r="Y41" s="275">
        <v>155.33386352240544</v>
      </c>
      <c r="Z41" s="283">
        <f t="shared" si="2"/>
        <v>0.15429392359126029</v>
      </c>
      <c r="AA41" s="145">
        <f t="shared" si="3"/>
        <v>0.67024105498695019</v>
      </c>
      <c r="AB41" s="145">
        <f t="shared" si="4"/>
        <v>0.16642986511645527</v>
      </c>
      <c r="AC41" s="145">
        <f t="shared" si="5"/>
        <v>0.12966950520972356</v>
      </c>
      <c r="AD41" s="145">
        <f t="shared" si="6"/>
        <v>0.46536654070891842</v>
      </c>
    </row>
    <row r="42" spans="2:30" x14ac:dyDescent="0.25">
      <c r="B42" s="132">
        <v>2019</v>
      </c>
      <c r="C42" s="273" t="s">
        <v>166</v>
      </c>
      <c r="D42" s="274"/>
      <c r="E42" s="274">
        <v>6414.3441516039456</v>
      </c>
      <c r="F42" s="275"/>
      <c r="G42" s="275">
        <v>339.17863666728459</v>
      </c>
      <c r="H42" s="275"/>
      <c r="I42" s="275">
        <v>605.11954678175857</v>
      </c>
      <c r="J42" s="275"/>
      <c r="K42" s="275">
        <v>4339.2609498424781</v>
      </c>
      <c r="L42" s="275"/>
      <c r="M42" s="275">
        <v>965.68712787790787</v>
      </c>
      <c r="N42" s="275"/>
      <c r="O42" s="275">
        <v>165.09789043451636</v>
      </c>
      <c r="P42" s="274">
        <v>2631.0187132672804</v>
      </c>
      <c r="Q42" s="338"/>
      <c r="R42" s="132" t="str">
        <f t="shared" si="0"/>
        <v>Sep - Nov 2019</v>
      </c>
      <c r="S42" s="274">
        <f t="shared" si="1"/>
        <v>9045.3628648712256</v>
      </c>
      <c r="T42" s="275">
        <v>59.360745934745772</v>
      </c>
      <c r="U42" s="275">
        <v>1248.1076274484597</v>
      </c>
      <c r="V42" s="275">
        <v>74.855749562342552</v>
      </c>
      <c r="W42" s="275">
        <v>952.55248267210743</v>
      </c>
      <c r="X42" s="275">
        <v>141.428949829826</v>
      </c>
      <c r="Y42" s="275">
        <v>154.71315781979894</v>
      </c>
      <c r="Z42" s="283">
        <f t="shared" si="2"/>
        <v>0.14894574670935759</v>
      </c>
      <c r="AA42" s="145">
        <f t="shared" si="3"/>
        <v>0.67347794420664631</v>
      </c>
      <c r="AB42" s="145">
        <f t="shared" si="4"/>
        <v>0.18000492549856764</v>
      </c>
      <c r="AC42" s="145">
        <f t="shared" si="5"/>
        <v>0.12774536715486273</v>
      </c>
      <c r="AD42" s="145">
        <f t="shared" si="6"/>
        <v>0.48376426850885484</v>
      </c>
    </row>
    <row r="43" spans="2:30" x14ac:dyDescent="0.25">
      <c r="B43" s="132">
        <v>2019</v>
      </c>
      <c r="C43" s="273" t="s">
        <v>165</v>
      </c>
      <c r="D43" s="274"/>
      <c r="E43" s="274">
        <v>6423.8115994425289</v>
      </c>
      <c r="F43" s="275"/>
      <c r="G43" s="275">
        <v>332.50144082272811</v>
      </c>
      <c r="H43" s="275"/>
      <c r="I43" s="275">
        <v>602.20542286183968</v>
      </c>
      <c r="J43" s="275"/>
      <c r="K43" s="275">
        <v>4355.5052697407673</v>
      </c>
      <c r="L43" s="275"/>
      <c r="M43" s="275">
        <v>971.60503971507706</v>
      </c>
      <c r="N43" s="275"/>
      <c r="O43" s="275">
        <v>161.99442630211726</v>
      </c>
      <c r="P43" s="274">
        <v>2663.3207846032901</v>
      </c>
      <c r="Q43" s="338"/>
      <c r="R43" s="132" t="str">
        <f t="shared" si="0"/>
        <v>Oct - Dic 2019</v>
      </c>
      <c r="S43" s="274">
        <f t="shared" si="1"/>
        <v>9087.132384045819</v>
      </c>
      <c r="T43" s="275">
        <v>51.12475004598766</v>
      </c>
      <c r="U43" s="275">
        <v>1259.4508664411303</v>
      </c>
      <c r="V43" s="275">
        <v>79.454075653293415</v>
      </c>
      <c r="W43" s="275">
        <v>979.30367115828881</v>
      </c>
      <c r="X43" s="275">
        <v>145.04397987164717</v>
      </c>
      <c r="Y43" s="275">
        <v>148.94344143294276</v>
      </c>
      <c r="Z43" s="283">
        <f t="shared" si="2"/>
        <v>0.13326710027335836</v>
      </c>
      <c r="AA43" s="145">
        <f t="shared" si="3"/>
        <v>0.67652169397643547</v>
      </c>
      <c r="AB43" s="145">
        <f t="shared" si="4"/>
        <v>0.18356864922574909</v>
      </c>
      <c r="AC43" s="145">
        <f t="shared" si="5"/>
        <v>0.12989218396065796</v>
      </c>
      <c r="AD43" s="145">
        <f t="shared" si="6"/>
        <v>0.4790135164876495</v>
      </c>
    </row>
    <row r="44" spans="2:30" x14ac:dyDescent="0.25">
      <c r="B44" s="132">
        <v>2019</v>
      </c>
      <c r="C44" s="273" t="s">
        <v>164</v>
      </c>
      <c r="D44" s="274"/>
      <c r="E44" s="274">
        <v>6458.7929742183451</v>
      </c>
      <c r="F44" s="275"/>
      <c r="G44" s="275">
        <v>324.14959788273234</v>
      </c>
      <c r="H44" s="275"/>
      <c r="I44" s="275">
        <v>615.31991088230177</v>
      </c>
      <c r="J44" s="275"/>
      <c r="K44" s="275">
        <v>4405.4671317163111</v>
      </c>
      <c r="L44" s="275"/>
      <c r="M44" s="275">
        <v>954.31804669884218</v>
      </c>
      <c r="N44" s="275"/>
      <c r="O44" s="275">
        <v>159.53828703815776</v>
      </c>
      <c r="P44" s="274">
        <v>2656.8480652767644</v>
      </c>
      <c r="Q44" s="338"/>
      <c r="R44" s="132" t="str">
        <f t="shared" si="0"/>
        <v>Nov - Ene 2019</v>
      </c>
      <c r="S44" s="274">
        <f t="shared" si="1"/>
        <v>9115.641039495109</v>
      </c>
      <c r="T44" s="275">
        <v>51.246043567152114</v>
      </c>
      <c r="U44" s="275">
        <v>1207.3922310958155</v>
      </c>
      <c r="V44" s="275">
        <v>91.961686153785607</v>
      </c>
      <c r="W44" s="275">
        <v>1013.3462202586475</v>
      </c>
      <c r="X44" s="275">
        <v>138.91991583602203</v>
      </c>
      <c r="Y44" s="275">
        <v>153.98196836534154</v>
      </c>
      <c r="Z44" s="283">
        <f t="shared" si="2"/>
        <v>0.13651208993590164</v>
      </c>
      <c r="AA44" s="145">
        <f t="shared" si="3"/>
        <v>0.66241520165958867</v>
      </c>
      <c r="AB44" s="145">
        <f t="shared" si="4"/>
        <v>0.18700518996272864</v>
      </c>
      <c r="AC44" s="145">
        <f t="shared" si="5"/>
        <v>0.12707198304192785</v>
      </c>
      <c r="AD44" s="145">
        <f t="shared" si="6"/>
        <v>0.49113882025634159</v>
      </c>
    </row>
    <row r="45" spans="2:30" x14ac:dyDescent="0.25">
      <c r="B45" s="132">
        <v>2020</v>
      </c>
      <c r="C45" s="276" t="s">
        <v>163</v>
      </c>
      <c r="D45" s="274"/>
      <c r="E45" s="274">
        <v>6432.776659776865</v>
      </c>
      <c r="F45" s="275"/>
      <c r="G45" s="275">
        <v>299.43952613303873</v>
      </c>
      <c r="H45" s="275"/>
      <c r="I45" s="275">
        <v>590.42456892585028</v>
      </c>
      <c r="J45" s="275"/>
      <c r="K45" s="275">
        <v>4458.3501857882293</v>
      </c>
      <c r="L45" s="275"/>
      <c r="M45" s="275">
        <v>947.69340474205569</v>
      </c>
      <c r="N45" s="275"/>
      <c r="O45" s="275">
        <v>136.86897418769121</v>
      </c>
      <c r="P45" s="274">
        <v>2630.5970772904197</v>
      </c>
      <c r="Q45" s="338"/>
      <c r="R45" s="132" t="str">
        <f t="shared" si="0"/>
        <v>Dic - Feb 2020</v>
      </c>
      <c r="S45" s="274">
        <f t="shared" si="1"/>
        <v>9063.3737370672843</v>
      </c>
      <c r="T45" s="275">
        <v>56.890097165340812</v>
      </c>
      <c r="U45" s="275">
        <v>1214.4449214136955</v>
      </c>
      <c r="V45" s="275">
        <v>79.689491098717866</v>
      </c>
      <c r="W45" s="275">
        <v>973.3141558342403</v>
      </c>
      <c r="X45" s="275">
        <v>149.51599128279622</v>
      </c>
      <c r="Y45" s="275">
        <v>156.74242049562966</v>
      </c>
      <c r="Z45" s="283">
        <f t="shared" si="2"/>
        <v>0.15965581710197241</v>
      </c>
      <c r="AA45" s="145">
        <f t="shared" si="3"/>
        <v>0.67287132278202832</v>
      </c>
      <c r="AB45" s="145">
        <f t="shared" si="4"/>
        <v>0.17919261843479556</v>
      </c>
      <c r="AC45" s="145">
        <f t="shared" si="5"/>
        <v>0.136269331838104</v>
      </c>
      <c r="AD45" s="145">
        <f t="shared" si="6"/>
        <v>0.5338431114524238</v>
      </c>
    </row>
    <row r="46" spans="2:30" x14ac:dyDescent="0.25">
      <c r="B46" s="132">
        <v>2020</v>
      </c>
      <c r="C46" s="273" t="s">
        <v>162</v>
      </c>
      <c r="D46" s="274"/>
      <c r="E46" s="274">
        <v>6361.9690279829156</v>
      </c>
      <c r="F46" s="275"/>
      <c r="G46" s="275">
        <v>283.86566943974617</v>
      </c>
      <c r="H46" s="275"/>
      <c r="I46" s="275">
        <v>587.56101707250025</v>
      </c>
      <c r="J46" s="275"/>
      <c r="K46" s="275">
        <v>4398.119735755954</v>
      </c>
      <c r="L46" s="275"/>
      <c r="M46" s="275">
        <v>956.71405441544118</v>
      </c>
      <c r="N46" s="275"/>
      <c r="O46" s="275">
        <v>135.70855129927386</v>
      </c>
      <c r="P46" s="274">
        <v>2580.4554917950759</v>
      </c>
      <c r="Q46" s="338"/>
      <c r="R46" s="132" t="str">
        <f t="shared" si="0"/>
        <v>Ene - Mar 2020</v>
      </c>
      <c r="S46" s="274">
        <f t="shared" si="1"/>
        <v>8942.424519777991</v>
      </c>
      <c r="T46" s="275">
        <v>65.474579789405553</v>
      </c>
      <c r="U46" s="275">
        <v>1168.8402891007672</v>
      </c>
      <c r="V46" s="275">
        <v>74.555089766634239</v>
      </c>
      <c r="W46" s="275">
        <v>977.56599516989093</v>
      </c>
      <c r="X46" s="275">
        <v>143.24318061844454</v>
      </c>
      <c r="Y46" s="275">
        <v>150.77635734993359</v>
      </c>
      <c r="Z46" s="283">
        <f t="shared" si="2"/>
        <v>0.18742352172096016</v>
      </c>
      <c r="AA46" s="145">
        <f t="shared" si="3"/>
        <v>0.66547450459790425</v>
      </c>
      <c r="AB46" s="145">
        <f t="shared" si="4"/>
        <v>0.18184954331426784</v>
      </c>
      <c r="AC46" s="145">
        <f t="shared" si="5"/>
        <v>0.13022613612249365</v>
      </c>
      <c r="AD46" s="145">
        <f t="shared" si="6"/>
        <v>0.52629773086775367</v>
      </c>
    </row>
    <row r="47" spans="2:30" x14ac:dyDescent="0.25">
      <c r="B47" s="132">
        <v>2020</v>
      </c>
      <c r="C47" s="273" t="s">
        <v>173</v>
      </c>
      <c r="D47" s="274"/>
      <c r="E47" s="274">
        <v>6069.4039947019537</v>
      </c>
      <c r="F47" s="275"/>
      <c r="G47" s="275">
        <v>245.35033597428946</v>
      </c>
      <c r="H47" s="275"/>
      <c r="I47" s="275">
        <v>517.36549025362649</v>
      </c>
      <c r="J47" s="275"/>
      <c r="K47" s="275">
        <v>4225.9051352386778</v>
      </c>
      <c r="L47" s="275"/>
      <c r="M47" s="275">
        <v>956.00941790714387</v>
      </c>
      <c r="N47" s="275"/>
      <c r="O47" s="275">
        <v>124.77361532821503</v>
      </c>
      <c r="P47" s="274">
        <v>2166.5267973175592</v>
      </c>
      <c r="Q47" s="338"/>
      <c r="R47" s="132" t="str">
        <f t="shared" si="0"/>
        <v>Feb - Abr 2020</v>
      </c>
      <c r="S47" s="274">
        <f t="shared" si="1"/>
        <v>8235.9307920195133</v>
      </c>
      <c r="T47" s="275">
        <v>54.400800514210964</v>
      </c>
      <c r="U47" s="275">
        <v>1002.7809206752893</v>
      </c>
      <c r="V47" s="275">
        <v>56.064874346241233</v>
      </c>
      <c r="W47" s="275">
        <v>804.38772026227537</v>
      </c>
      <c r="X47" s="275">
        <v>134.02181091226916</v>
      </c>
      <c r="Y47" s="275">
        <v>114.87067060727327</v>
      </c>
      <c r="Z47" s="283">
        <f t="shared" si="2"/>
        <v>0.18148655298358804</v>
      </c>
      <c r="AA47" s="145">
        <f t="shared" si="3"/>
        <v>0.65966074942907638</v>
      </c>
      <c r="AB47" s="145">
        <f t="shared" si="4"/>
        <v>0.15990872566845188</v>
      </c>
      <c r="AC47" s="145">
        <f t="shared" si="5"/>
        <v>0.12295226720928447</v>
      </c>
      <c r="AD47" s="145">
        <f t="shared" si="6"/>
        <v>0.4793382415059802</v>
      </c>
    </row>
    <row r="48" spans="2:30" x14ac:dyDescent="0.25">
      <c r="B48" s="132">
        <v>2020</v>
      </c>
      <c r="C48" s="273" t="s">
        <v>172</v>
      </c>
      <c r="D48" s="274"/>
      <c r="E48" s="274">
        <v>5696.0606398216823</v>
      </c>
      <c r="F48" s="275"/>
      <c r="G48" s="275">
        <v>220.78631642382922</v>
      </c>
      <c r="H48" s="275"/>
      <c r="I48" s="275">
        <v>470.29291851895948</v>
      </c>
      <c r="J48" s="275"/>
      <c r="K48" s="275">
        <v>3922.4210701421166</v>
      </c>
      <c r="L48" s="275"/>
      <c r="M48" s="275">
        <v>967.13897553356128</v>
      </c>
      <c r="N48" s="275"/>
      <c r="O48" s="275">
        <v>115.42135920321522</v>
      </c>
      <c r="P48" s="274">
        <v>1754.4619247025505</v>
      </c>
      <c r="Q48" s="338"/>
      <c r="R48" s="132" t="str">
        <f t="shared" ref="R48:R79" si="7">+C48&amp;" "&amp;B48</f>
        <v>Mar - May 2020</v>
      </c>
      <c r="S48" s="274">
        <f t="shared" ref="S48:S79" si="8">+E48+P48</f>
        <v>7450.5225645242326</v>
      </c>
      <c r="T48" s="275">
        <v>38.958752955635276</v>
      </c>
      <c r="U48" s="275">
        <v>848.31574461174671</v>
      </c>
      <c r="V48" s="275">
        <v>56.736639710425024</v>
      </c>
      <c r="W48" s="275">
        <v>624.14127306281625</v>
      </c>
      <c r="X48" s="275">
        <v>111.55465680618946</v>
      </c>
      <c r="Y48" s="275">
        <v>74.754857555737857</v>
      </c>
      <c r="Z48" s="283">
        <f t="shared" ref="Z48:Z79" si="9">+T48/(G48+T48)</f>
        <v>0.14998842152695493</v>
      </c>
      <c r="AA48" s="145">
        <f t="shared" ref="AA48:AA79" si="10">+U48/(I48+U48)</f>
        <v>0.64334155260108283</v>
      </c>
      <c r="AB48" s="145">
        <f t="shared" ref="AB48:AB79" si="11">+W48/(K48+W48)</f>
        <v>0.13727762338849855</v>
      </c>
      <c r="AC48" s="145">
        <f t="shared" ref="AC48:AC79" si="12">+X48/(M48+X48)</f>
        <v>0.10341644138959155</v>
      </c>
      <c r="AD48" s="145">
        <f t="shared" ref="AD48:AD79" si="13">+Y48/(O48+Y48)</f>
        <v>0.39308205216054476</v>
      </c>
    </row>
    <row r="49" spans="2:30" x14ac:dyDescent="0.25">
      <c r="B49" s="132">
        <v>2020</v>
      </c>
      <c r="C49" s="273" t="s">
        <v>171</v>
      </c>
      <c r="D49" s="274"/>
      <c r="E49" s="274">
        <v>5545.3427874201916</v>
      </c>
      <c r="F49" s="275"/>
      <c r="G49" s="275">
        <v>211.75849008071367</v>
      </c>
      <c r="H49" s="275"/>
      <c r="I49" s="275">
        <v>445.88297097581295</v>
      </c>
      <c r="J49" s="275"/>
      <c r="K49" s="275">
        <v>3801.9955836086961</v>
      </c>
      <c r="L49" s="275"/>
      <c r="M49" s="275">
        <v>971.13586840625794</v>
      </c>
      <c r="N49" s="275"/>
      <c r="O49" s="275">
        <v>114.56987434871075</v>
      </c>
      <c r="P49" s="274">
        <v>1597.2254977631667</v>
      </c>
      <c r="Q49" s="338"/>
      <c r="R49" s="132" t="str">
        <f t="shared" si="7"/>
        <v>Abr - Jun 2020</v>
      </c>
      <c r="S49" s="274">
        <f t="shared" si="8"/>
        <v>7142.5682851833581</v>
      </c>
      <c r="T49" s="275">
        <v>28.548425544430547</v>
      </c>
      <c r="U49" s="275">
        <v>777.22426934418161</v>
      </c>
      <c r="V49" s="275">
        <v>58.256160150109729</v>
      </c>
      <c r="W49" s="275">
        <v>556.50928122984328</v>
      </c>
      <c r="X49" s="275">
        <v>120.94132599996429</v>
      </c>
      <c r="Y49" s="275">
        <v>55.746035494637177</v>
      </c>
      <c r="Z49" s="283">
        <f t="shared" si="9"/>
        <v>0.11879985005909424</v>
      </c>
      <c r="AA49" s="145">
        <f t="shared" si="10"/>
        <v>0.63545063239167876</v>
      </c>
      <c r="AB49" s="145">
        <f t="shared" si="11"/>
        <v>0.1276835287530324</v>
      </c>
      <c r="AC49" s="145">
        <f t="shared" si="12"/>
        <v>0.11074430142799732</v>
      </c>
      <c r="AD49" s="145">
        <f t="shared" si="13"/>
        <v>0.32730961861349833</v>
      </c>
    </row>
    <row r="50" spans="2:30" x14ac:dyDescent="0.25">
      <c r="B50" s="132">
        <v>2020</v>
      </c>
      <c r="C50" s="273" t="s">
        <v>170</v>
      </c>
      <c r="D50" s="274"/>
      <c r="E50" s="274">
        <v>5495.5082953035253</v>
      </c>
      <c r="F50" s="275"/>
      <c r="G50" s="275">
        <v>201.06874489245405</v>
      </c>
      <c r="H50" s="275"/>
      <c r="I50" s="275">
        <v>483.65586686498716</v>
      </c>
      <c r="J50" s="275"/>
      <c r="K50" s="275">
        <v>3717.7142960965675</v>
      </c>
      <c r="L50" s="275"/>
      <c r="M50" s="275">
        <v>982.66529707529298</v>
      </c>
      <c r="N50" s="275"/>
      <c r="O50" s="275">
        <v>110.40409037422384</v>
      </c>
      <c r="P50" s="274">
        <v>1577.6842296302432</v>
      </c>
      <c r="Q50" s="338"/>
      <c r="R50" s="132" t="str">
        <f t="shared" si="7"/>
        <v>May - Jul 2020</v>
      </c>
      <c r="S50" s="274">
        <f t="shared" si="8"/>
        <v>7073.1925249337683</v>
      </c>
      <c r="T50" s="275">
        <v>23.679174918915013</v>
      </c>
      <c r="U50" s="275">
        <v>767.92382823861453</v>
      </c>
      <c r="V50" s="275">
        <v>63.328912156302891</v>
      </c>
      <c r="W50" s="275">
        <v>536.6546160767972</v>
      </c>
      <c r="X50" s="275">
        <v>128.18106520522917</v>
      </c>
      <c r="Y50" s="275">
        <v>57.916633034384439</v>
      </c>
      <c r="Z50" s="283">
        <f t="shared" si="9"/>
        <v>0.10535881684150379</v>
      </c>
      <c r="AA50" s="145">
        <f t="shared" si="10"/>
        <v>0.61356366777350779</v>
      </c>
      <c r="AB50" s="145">
        <f t="shared" si="11"/>
        <v>0.1261420029986644</v>
      </c>
      <c r="AC50" s="145">
        <f t="shared" si="12"/>
        <v>0.11539045322350311</v>
      </c>
      <c r="AD50" s="145">
        <f t="shared" si="13"/>
        <v>0.34408498170358065</v>
      </c>
    </row>
    <row r="51" spans="2:30" x14ac:dyDescent="0.25">
      <c r="B51" s="132">
        <v>2020</v>
      </c>
      <c r="C51" s="273" t="s">
        <v>169</v>
      </c>
      <c r="D51" s="274"/>
      <c r="E51" s="274">
        <v>5571.2624836936166</v>
      </c>
      <c r="F51" s="275"/>
      <c r="G51" s="275">
        <v>198.16036367902592</v>
      </c>
      <c r="H51" s="275"/>
      <c r="I51" s="275">
        <v>508.34937975763472</v>
      </c>
      <c r="J51" s="275"/>
      <c r="K51" s="275">
        <v>3759.833646754616</v>
      </c>
      <c r="L51" s="275"/>
      <c r="M51" s="275">
        <v>993.65165646737489</v>
      </c>
      <c r="N51" s="275"/>
      <c r="O51" s="275">
        <v>111.2674370349652</v>
      </c>
      <c r="P51" s="274">
        <v>1620.1511145605982</v>
      </c>
      <c r="Q51" s="338"/>
      <c r="R51" s="132" t="str">
        <f t="shared" si="7"/>
        <v>Jun - Ago 2020</v>
      </c>
      <c r="S51" s="274">
        <f t="shared" si="8"/>
        <v>7191.4135982542148</v>
      </c>
      <c r="T51" s="275">
        <v>21.610356545541823</v>
      </c>
      <c r="U51" s="275">
        <v>767.65648739849473</v>
      </c>
      <c r="V51" s="275">
        <v>65.592013019119975</v>
      </c>
      <c r="W51" s="275">
        <v>568.87259805042493</v>
      </c>
      <c r="X51" s="275">
        <v>131.19010048162096</v>
      </c>
      <c r="Y51" s="275">
        <v>65.229559065395847</v>
      </c>
      <c r="Z51" s="283">
        <f t="shared" si="9"/>
        <v>9.8331372456985019E-2</v>
      </c>
      <c r="AA51" s="145">
        <f t="shared" si="10"/>
        <v>0.601608900991492</v>
      </c>
      <c r="AB51" s="145">
        <f t="shared" si="11"/>
        <v>0.1314186193006604</v>
      </c>
      <c r="AC51" s="145">
        <f t="shared" si="12"/>
        <v>0.11662982785903951</v>
      </c>
      <c r="AD51" s="145">
        <f t="shared" si="13"/>
        <v>0.36957886256774886</v>
      </c>
    </row>
    <row r="52" spans="2:30" x14ac:dyDescent="0.25">
      <c r="B52" s="132">
        <v>2020</v>
      </c>
      <c r="C52" s="273" t="s">
        <v>168</v>
      </c>
      <c r="D52" s="274"/>
      <c r="E52" s="274">
        <v>5635.1058287258102</v>
      </c>
      <c r="F52" s="275"/>
      <c r="G52" s="275">
        <v>209.61925927029105</v>
      </c>
      <c r="H52" s="275"/>
      <c r="I52" s="275">
        <v>512.07807656877549</v>
      </c>
      <c r="J52" s="275"/>
      <c r="K52" s="275">
        <v>3799.6629908217401</v>
      </c>
      <c r="L52" s="275"/>
      <c r="M52" s="275">
        <v>1003.5770075167427</v>
      </c>
      <c r="N52" s="275"/>
      <c r="O52" s="275">
        <v>110.16849454826101</v>
      </c>
      <c r="P52" s="274">
        <v>1729.9494253068599</v>
      </c>
      <c r="Q52" s="338"/>
      <c r="R52" s="132" t="str">
        <f t="shared" si="7"/>
        <v>Jul - Sep 2020</v>
      </c>
      <c r="S52" s="274">
        <f t="shared" si="8"/>
        <v>7365.0552540326698</v>
      </c>
      <c r="T52" s="275">
        <v>26.269768918264269</v>
      </c>
      <c r="U52" s="275">
        <v>841.04282195235089</v>
      </c>
      <c r="V52" s="275">
        <v>61.768553376991179</v>
      </c>
      <c r="W52" s="275">
        <v>599.03721491115687</v>
      </c>
      <c r="X52" s="275">
        <v>132.69000805967704</v>
      </c>
      <c r="Y52" s="275">
        <v>69.141058088419442</v>
      </c>
      <c r="Z52" s="283">
        <f t="shared" si="9"/>
        <v>0.11136494613588308</v>
      </c>
      <c r="AA52" s="145">
        <f t="shared" si="10"/>
        <v>0.62155778014481644</v>
      </c>
      <c r="AB52" s="145">
        <f t="shared" si="11"/>
        <v>0.13618505169559453</v>
      </c>
      <c r="AC52" s="145">
        <f t="shared" si="12"/>
        <v>0.11677713621948659</v>
      </c>
      <c r="AD52" s="145">
        <f t="shared" si="13"/>
        <v>0.38559606597487883</v>
      </c>
    </row>
    <row r="53" spans="2:30" x14ac:dyDescent="0.25">
      <c r="B53" s="132">
        <v>2020</v>
      </c>
      <c r="C53" s="273" t="s">
        <v>167</v>
      </c>
      <c r="D53" s="274"/>
      <c r="E53" s="274">
        <v>5741.3850053321366</v>
      </c>
      <c r="F53" s="275"/>
      <c r="G53" s="275">
        <v>222.03366922570203</v>
      </c>
      <c r="H53" s="275"/>
      <c r="I53" s="275">
        <v>530.58406948184256</v>
      </c>
      <c r="J53" s="275"/>
      <c r="K53" s="275">
        <v>3899.1961841376487</v>
      </c>
      <c r="L53" s="275"/>
      <c r="M53" s="275">
        <v>988.91301763970671</v>
      </c>
      <c r="N53" s="275"/>
      <c r="O53" s="275">
        <v>100.65806484723622</v>
      </c>
      <c r="P53" s="274">
        <v>1926.2743929617168</v>
      </c>
      <c r="Q53" s="338"/>
      <c r="R53" s="132" t="str">
        <f t="shared" si="7"/>
        <v>Ago - Oct 2020</v>
      </c>
      <c r="S53" s="274">
        <f t="shared" si="8"/>
        <v>7667.6593982938539</v>
      </c>
      <c r="T53" s="275">
        <v>30.496713470297262</v>
      </c>
      <c r="U53" s="275">
        <v>938.04799444043772</v>
      </c>
      <c r="V53" s="275">
        <v>67.18563793166615</v>
      </c>
      <c r="W53" s="275">
        <v>681.3137071350651</v>
      </c>
      <c r="X53" s="275">
        <v>140.56137980150004</v>
      </c>
      <c r="Y53" s="275">
        <v>68.668960182750538</v>
      </c>
      <c r="Z53" s="283">
        <f t="shared" si="9"/>
        <v>0.12076453195340763</v>
      </c>
      <c r="AA53" s="145">
        <f t="shared" si="10"/>
        <v>0.6387222623583404</v>
      </c>
      <c r="AB53" s="145">
        <f t="shared" si="11"/>
        <v>0.14874189190884146</v>
      </c>
      <c r="AC53" s="145">
        <f t="shared" si="12"/>
        <v>0.12444848694219009</v>
      </c>
      <c r="AD53" s="145">
        <f t="shared" si="13"/>
        <v>0.40554046331700266</v>
      </c>
    </row>
    <row r="54" spans="2:30" x14ac:dyDescent="0.25">
      <c r="B54" s="132">
        <v>2020</v>
      </c>
      <c r="C54" s="273" t="s">
        <v>166</v>
      </c>
      <c r="D54" s="274"/>
      <c r="E54" s="274">
        <v>5804.4440390325863</v>
      </c>
      <c r="F54" s="275"/>
      <c r="G54" s="275">
        <v>219.31974320483468</v>
      </c>
      <c r="H54" s="275"/>
      <c r="I54" s="275">
        <v>522.88672123150275</v>
      </c>
      <c r="J54" s="275"/>
      <c r="K54" s="275">
        <v>3978.453207769915</v>
      </c>
      <c r="L54" s="275"/>
      <c r="M54" s="275">
        <v>972.4632992486396</v>
      </c>
      <c r="N54" s="275"/>
      <c r="O54" s="275">
        <v>111.32106757769347</v>
      </c>
      <c r="P54" s="274">
        <v>2112.2795820541578</v>
      </c>
      <c r="Q54" s="338"/>
      <c r="R54" s="132" t="str">
        <f t="shared" si="7"/>
        <v>Sep - Nov 2020</v>
      </c>
      <c r="S54" s="274">
        <f t="shared" si="8"/>
        <v>7916.7236210867441</v>
      </c>
      <c r="T54" s="275">
        <v>28.681545593170188</v>
      </c>
      <c r="U54" s="275">
        <v>1046.0537529259902</v>
      </c>
      <c r="V54" s="275">
        <v>77.664488722589269</v>
      </c>
      <c r="W54" s="275">
        <v>725.23570637520265</v>
      </c>
      <c r="X54" s="275">
        <v>157.53277334773239</v>
      </c>
      <c r="Y54" s="275">
        <v>77.111315089473138</v>
      </c>
      <c r="Z54" s="283">
        <f t="shared" si="9"/>
        <v>0.11565079251072394</v>
      </c>
      <c r="AA54" s="145">
        <f t="shared" si="10"/>
        <v>0.66672622075589683</v>
      </c>
      <c r="AB54" s="145">
        <f t="shared" si="11"/>
        <v>0.1541844538643373</v>
      </c>
      <c r="AC54" s="145">
        <f t="shared" si="12"/>
        <v>0.13941001846649972</v>
      </c>
      <c r="AD54" s="145">
        <f t="shared" si="13"/>
        <v>0.40922538895916316</v>
      </c>
    </row>
    <row r="55" spans="2:30" x14ac:dyDescent="0.25">
      <c r="B55" s="132">
        <v>2020</v>
      </c>
      <c r="C55" s="273" t="s">
        <v>165</v>
      </c>
      <c r="D55" s="274"/>
      <c r="E55" s="274">
        <v>5860.9078465525836</v>
      </c>
      <c r="F55" s="275"/>
      <c r="G55" s="275">
        <v>206.35223987335601</v>
      </c>
      <c r="H55" s="275"/>
      <c r="I55" s="275">
        <v>524.31655583289728</v>
      </c>
      <c r="J55" s="275"/>
      <c r="K55" s="275">
        <v>4033.8268524279556</v>
      </c>
      <c r="L55" s="275"/>
      <c r="M55" s="275">
        <v>981.22265861864037</v>
      </c>
      <c r="N55" s="275"/>
      <c r="O55" s="275">
        <v>115.18953979973462</v>
      </c>
      <c r="P55" s="274">
        <v>2165.3087541988693</v>
      </c>
      <c r="Q55" s="338"/>
      <c r="R55" s="132" t="str">
        <f t="shared" si="7"/>
        <v>Oct - Dic 2020</v>
      </c>
      <c r="S55" s="274">
        <f t="shared" si="8"/>
        <v>8026.2166007514534</v>
      </c>
      <c r="T55" s="275">
        <v>27.323963752383939</v>
      </c>
      <c r="U55" s="275">
        <v>1064.7096687199466</v>
      </c>
      <c r="V55" s="275">
        <v>81.323480913629311</v>
      </c>
      <c r="W55" s="275">
        <v>758.24402007776541</v>
      </c>
      <c r="X55" s="275">
        <v>153.98272891564918</v>
      </c>
      <c r="Y55" s="275">
        <v>79.724891819494488</v>
      </c>
      <c r="Z55" s="283">
        <f t="shared" si="9"/>
        <v>0.11693087840534458</v>
      </c>
      <c r="AA55" s="145">
        <f t="shared" si="10"/>
        <v>0.67003907944915053</v>
      </c>
      <c r="AB55" s="145">
        <f t="shared" si="11"/>
        <v>0.15822888272127911</v>
      </c>
      <c r="AC55" s="145">
        <f t="shared" si="12"/>
        <v>0.13564305684815828</v>
      </c>
      <c r="AD55" s="145">
        <f t="shared" si="13"/>
        <v>0.40902508427513123</v>
      </c>
    </row>
    <row r="56" spans="2:30" x14ac:dyDescent="0.25">
      <c r="B56" s="132">
        <v>2020</v>
      </c>
      <c r="C56" s="273" t="s">
        <v>164</v>
      </c>
      <c r="D56" s="274"/>
      <c r="E56" s="274">
        <v>5921.7702350451545</v>
      </c>
      <c r="F56" s="275"/>
      <c r="G56" s="275">
        <v>210.25414431512345</v>
      </c>
      <c r="H56" s="275"/>
      <c r="I56" s="275">
        <v>532.37662171086379</v>
      </c>
      <c r="J56" s="275"/>
      <c r="K56" s="275">
        <v>4090.4312267755126</v>
      </c>
      <c r="L56" s="275"/>
      <c r="M56" s="275">
        <v>980.09071297972775</v>
      </c>
      <c r="N56" s="275"/>
      <c r="O56" s="275">
        <v>108.61752926392657</v>
      </c>
      <c r="P56" s="274">
        <v>2199.6497607922897</v>
      </c>
      <c r="Q56" s="338"/>
      <c r="R56" s="132" t="str">
        <f t="shared" si="7"/>
        <v>Nov - Ene 2020</v>
      </c>
      <c r="S56" s="274">
        <f t="shared" si="8"/>
        <v>8121.4199958374447</v>
      </c>
      <c r="T56" s="275">
        <v>26.4103128829634</v>
      </c>
      <c r="U56" s="275">
        <v>1078.8390482174498</v>
      </c>
      <c r="V56" s="275">
        <v>75.364318272272342</v>
      </c>
      <c r="W56" s="275">
        <v>781.54897346832433</v>
      </c>
      <c r="X56" s="275">
        <v>148.67277271275995</v>
      </c>
      <c r="Y56" s="275">
        <v>88.814335238520087</v>
      </c>
      <c r="Z56" s="283">
        <f t="shared" si="9"/>
        <v>0.11159391315299243</v>
      </c>
      <c r="AA56" s="145">
        <f t="shared" si="10"/>
        <v>0.66958078198522586</v>
      </c>
      <c r="AB56" s="145">
        <f t="shared" si="11"/>
        <v>0.16041710789982452</v>
      </c>
      <c r="AC56" s="145">
        <f t="shared" si="12"/>
        <v>0.13171295368537755</v>
      </c>
      <c r="AD56" s="145">
        <f t="shared" si="13"/>
        <v>0.44984802965997139</v>
      </c>
    </row>
    <row r="57" spans="2:30" x14ac:dyDescent="0.25">
      <c r="B57" s="132">
        <v>2021</v>
      </c>
      <c r="C57" s="273" t="s">
        <v>163</v>
      </c>
      <c r="D57" s="274"/>
      <c r="E57" s="274">
        <v>6006.4522288350436</v>
      </c>
      <c r="F57" s="275"/>
      <c r="G57" s="275">
        <v>215.85768527590807</v>
      </c>
      <c r="H57" s="275"/>
      <c r="I57" s="275">
        <v>552.63786628904882</v>
      </c>
      <c r="J57" s="275"/>
      <c r="K57" s="275">
        <v>4140.6930594105916</v>
      </c>
      <c r="L57" s="275"/>
      <c r="M57" s="275">
        <v>987.97558017124811</v>
      </c>
      <c r="N57" s="275"/>
      <c r="O57" s="275">
        <v>109.28803768824692</v>
      </c>
      <c r="P57" s="274">
        <v>2161.1710806059828</v>
      </c>
      <c r="Q57" s="338"/>
      <c r="R57" s="132" t="str">
        <f t="shared" si="7"/>
        <v>Dic - Feb 2021</v>
      </c>
      <c r="S57" s="274">
        <f t="shared" si="8"/>
        <v>8167.6233094410263</v>
      </c>
      <c r="T57" s="275">
        <v>29.391804663453946</v>
      </c>
      <c r="U57" s="275">
        <v>1081.4426625284623</v>
      </c>
      <c r="V57" s="275">
        <v>71.204726570774525</v>
      </c>
      <c r="W57" s="275">
        <v>760.42287866607626</v>
      </c>
      <c r="X57" s="275">
        <v>129.26341392986001</v>
      </c>
      <c r="Y57" s="275">
        <v>89.445594247355999</v>
      </c>
      <c r="Z57" s="283">
        <f t="shared" si="9"/>
        <v>0.11984450883351919</v>
      </c>
      <c r="AA57" s="145">
        <f t="shared" si="10"/>
        <v>0.661804998870551</v>
      </c>
      <c r="AB57" s="145">
        <f t="shared" si="11"/>
        <v>0.15515300765655568</v>
      </c>
      <c r="AC57" s="145">
        <f t="shared" si="12"/>
        <v>0.1156989816971622</v>
      </c>
      <c r="AD57" s="145">
        <f t="shared" si="13"/>
        <v>0.45007779194786568</v>
      </c>
    </row>
    <row r="58" spans="2:30" x14ac:dyDescent="0.25">
      <c r="B58" s="132">
        <v>2021</v>
      </c>
      <c r="C58" s="273" t="s">
        <v>162</v>
      </c>
      <c r="D58" s="274"/>
      <c r="E58" s="274">
        <v>5973.6741072693603</v>
      </c>
      <c r="F58" s="275"/>
      <c r="G58" s="275">
        <v>212.07611031043172</v>
      </c>
      <c r="H58" s="275"/>
      <c r="I58" s="275">
        <v>536.87399751792339</v>
      </c>
      <c r="J58" s="275"/>
      <c r="K58" s="275">
        <v>4135.9543129362974</v>
      </c>
      <c r="L58" s="275"/>
      <c r="M58" s="275">
        <v>975.1181374406566</v>
      </c>
      <c r="N58" s="275"/>
      <c r="O58" s="275">
        <v>113.65154906405118</v>
      </c>
      <c r="P58" s="274">
        <v>2174.5314612566599</v>
      </c>
      <c r="Q58" s="338"/>
      <c r="R58" s="132" t="str">
        <f t="shared" si="7"/>
        <v>Ene - Mar 2021</v>
      </c>
      <c r="S58" s="274">
        <f t="shared" si="8"/>
        <v>8148.2055685260202</v>
      </c>
      <c r="T58" s="275">
        <v>34.844268307388703</v>
      </c>
      <c r="U58" s="275">
        <v>1109.5034961965289</v>
      </c>
      <c r="V58" s="275">
        <v>72.144722241079904</v>
      </c>
      <c r="W58" s="275">
        <v>740.23197772948981</v>
      </c>
      <c r="X58" s="275">
        <v>126.98276637485006</v>
      </c>
      <c r="Y58" s="275">
        <v>90.824230407322688</v>
      </c>
      <c r="Z58" s="283">
        <f t="shared" si="9"/>
        <v>0.14111540125782865</v>
      </c>
      <c r="AA58" s="145">
        <f t="shared" si="10"/>
        <v>0.67390589365585751</v>
      </c>
      <c r="AB58" s="145">
        <f t="shared" si="11"/>
        <v>0.15180551636152106</v>
      </c>
      <c r="AC58" s="145">
        <f t="shared" si="12"/>
        <v>0.11521882064993494</v>
      </c>
      <c r="AD58" s="145">
        <f t="shared" si="13"/>
        <v>0.4441808738527776</v>
      </c>
    </row>
    <row r="59" spans="2:30" x14ac:dyDescent="0.25">
      <c r="B59" s="132">
        <v>2021</v>
      </c>
      <c r="C59" s="273" t="s">
        <v>173</v>
      </c>
      <c r="D59" s="274"/>
      <c r="E59" s="274">
        <v>5980.5721163606913</v>
      </c>
      <c r="F59" s="275"/>
      <c r="G59" s="275">
        <v>211.11468647749868</v>
      </c>
      <c r="H59" s="275"/>
      <c r="I59" s="275">
        <v>529.98292542130059</v>
      </c>
      <c r="J59" s="275"/>
      <c r="K59" s="275">
        <v>4160.5210636928332</v>
      </c>
      <c r="L59" s="275"/>
      <c r="M59" s="275">
        <v>959.56084492138939</v>
      </c>
      <c r="N59" s="275"/>
      <c r="O59" s="275">
        <v>119.39259584766999</v>
      </c>
      <c r="P59" s="274">
        <v>2123.5566906234408</v>
      </c>
      <c r="Q59" s="338"/>
      <c r="R59" s="132" t="str">
        <f t="shared" si="7"/>
        <v>Feb - Abr 2021</v>
      </c>
      <c r="S59" s="274">
        <f t="shared" si="8"/>
        <v>8104.1288069841321</v>
      </c>
      <c r="T59" s="275">
        <v>38.856287147045911</v>
      </c>
      <c r="U59" s="275">
        <v>1112.2192897808488</v>
      </c>
      <c r="V59" s="275">
        <v>74.138403969555796</v>
      </c>
      <c r="W59" s="275">
        <v>693.42040929863811</v>
      </c>
      <c r="X59" s="275">
        <v>123.42443955119457</v>
      </c>
      <c r="Y59" s="275">
        <v>81.497860876157546</v>
      </c>
      <c r="Z59" s="283">
        <f t="shared" si="9"/>
        <v>0.15544319639850626</v>
      </c>
      <c r="AA59" s="145">
        <f t="shared" si="10"/>
        <v>0.67727304194626137</v>
      </c>
      <c r="AB59" s="145">
        <f t="shared" si="11"/>
        <v>0.14285718382823534</v>
      </c>
      <c r="AC59" s="145">
        <f t="shared" si="12"/>
        <v>0.11396686669782638</v>
      </c>
      <c r="AD59" s="145">
        <f t="shared" si="13"/>
        <v>0.4056830882125777</v>
      </c>
    </row>
    <row r="60" spans="2:30" x14ac:dyDescent="0.25">
      <c r="B60" s="132">
        <v>2021</v>
      </c>
      <c r="C60" s="273" t="s">
        <v>172</v>
      </c>
      <c r="D60" s="274"/>
      <c r="E60" s="274">
        <v>5942.6783678765132</v>
      </c>
      <c r="F60" s="275"/>
      <c r="G60" s="275">
        <v>209.80965667363407</v>
      </c>
      <c r="H60" s="275"/>
      <c r="I60" s="275">
        <v>530.32771647718937</v>
      </c>
      <c r="J60" s="275"/>
      <c r="K60" s="275">
        <v>4137.5373903780246</v>
      </c>
      <c r="L60" s="275"/>
      <c r="M60" s="275">
        <v>943.07785947830939</v>
      </c>
      <c r="N60" s="275"/>
      <c r="O60" s="275">
        <v>121.9257448693547</v>
      </c>
      <c r="P60" s="274">
        <v>2098.4321035338521</v>
      </c>
      <c r="Q60" s="338"/>
      <c r="R60" s="132" t="str">
        <f t="shared" si="7"/>
        <v>Mar - May 2021</v>
      </c>
      <c r="S60" s="274">
        <f t="shared" si="8"/>
        <v>8041.1104714103658</v>
      </c>
      <c r="T60" s="275">
        <v>38.974772491464549</v>
      </c>
      <c r="U60" s="275">
        <v>1113.4604266135198</v>
      </c>
      <c r="V60" s="275">
        <v>70.0310834701408</v>
      </c>
      <c r="W60" s="275">
        <v>664.28198322760545</v>
      </c>
      <c r="X60" s="275">
        <v>129.66916439281911</v>
      </c>
      <c r="Y60" s="275">
        <v>82.014673338302444</v>
      </c>
      <c r="Z60" s="283">
        <f t="shared" si="9"/>
        <v>0.15666081925730191</v>
      </c>
      <c r="AA60" s="145">
        <f t="shared" si="10"/>
        <v>0.67737465517907414</v>
      </c>
      <c r="AB60" s="145">
        <f t="shared" si="11"/>
        <v>0.13833964411052052</v>
      </c>
      <c r="AC60" s="145">
        <f t="shared" si="12"/>
        <v>0.12087580902801606</v>
      </c>
      <c r="AD60" s="145">
        <f t="shared" si="13"/>
        <v>0.40215016748074472</v>
      </c>
    </row>
    <row r="61" spans="2:30" x14ac:dyDescent="0.25">
      <c r="B61" s="132">
        <v>2021</v>
      </c>
      <c r="C61" s="273" t="s">
        <v>171</v>
      </c>
      <c r="D61" s="274"/>
      <c r="E61" s="274">
        <v>5953.391374035119</v>
      </c>
      <c r="F61" s="275"/>
      <c r="G61" s="275">
        <v>208.16024283703089</v>
      </c>
      <c r="H61" s="275"/>
      <c r="I61" s="275">
        <v>541.72035212748324</v>
      </c>
      <c r="J61" s="275"/>
      <c r="K61" s="275">
        <v>4169.9869180481737</v>
      </c>
      <c r="L61" s="275"/>
      <c r="M61" s="275">
        <v>919.79039330931255</v>
      </c>
      <c r="N61" s="275"/>
      <c r="O61" s="275">
        <v>113.73346771311826</v>
      </c>
      <c r="P61" s="274">
        <v>2087.8000405220687</v>
      </c>
      <c r="Q61" s="338"/>
      <c r="R61" s="132" t="str">
        <f t="shared" si="7"/>
        <v>Abr - Jun 2021</v>
      </c>
      <c r="S61" s="274">
        <f t="shared" si="8"/>
        <v>8041.1914145571882</v>
      </c>
      <c r="T61" s="275">
        <v>35.762687348466599</v>
      </c>
      <c r="U61" s="275">
        <v>1110.9905714802815</v>
      </c>
      <c r="V61" s="275">
        <v>62.348324109320977</v>
      </c>
      <c r="W61" s="275">
        <v>666.5100874842957</v>
      </c>
      <c r="X61" s="275">
        <v>128.90413914951677</v>
      </c>
      <c r="Y61" s="275">
        <v>83.28423095018735</v>
      </c>
      <c r="Z61" s="283">
        <f t="shared" si="9"/>
        <v>0.14661470047637565</v>
      </c>
      <c r="AA61" s="145">
        <f t="shared" si="10"/>
        <v>0.67222316716770913</v>
      </c>
      <c r="AB61" s="145">
        <f t="shared" si="11"/>
        <v>0.13780843588280417</v>
      </c>
      <c r="AC61" s="145">
        <f t="shared" si="12"/>
        <v>0.12291867189130921</v>
      </c>
      <c r="AD61" s="145">
        <f t="shared" si="13"/>
        <v>0.42272461568296132</v>
      </c>
    </row>
    <row r="62" spans="2:30" x14ac:dyDescent="0.25">
      <c r="B62" s="132">
        <v>2021</v>
      </c>
      <c r="C62" s="273" t="s">
        <v>170</v>
      </c>
      <c r="D62" s="274"/>
      <c r="E62" s="274">
        <v>5957.6131634681506</v>
      </c>
      <c r="F62" s="275"/>
      <c r="G62" s="275">
        <v>205.29374853831914</v>
      </c>
      <c r="H62" s="275"/>
      <c r="I62" s="275">
        <v>535.49357564553736</v>
      </c>
      <c r="J62" s="275"/>
      <c r="K62" s="275">
        <v>4167.1244811842689</v>
      </c>
      <c r="L62" s="275"/>
      <c r="M62" s="275">
        <v>935.48064367228426</v>
      </c>
      <c r="N62" s="275"/>
      <c r="O62" s="275">
        <v>114.22071442774106</v>
      </c>
      <c r="P62" s="274">
        <v>2191.3346314210894</v>
      </c>
      <c r="Q62" s="338"/>
      <c r="R62" s="132" t="str">
        <f t="shared" si="7"/>
        <v>May - Jul 2021</v>
      </c>
      <c r="S62" s="274">
        <f t="shared" si="8"/>
        <v>8148.94779488924</v>
      </c>
      <c r="T62" s="275">
        <v>31.117263302646098</v>
      </c>
      <c r="U62" s="275">
        <v>1185.9329525863679</v>
      </c>
      <c r="V62" s="275">
        <v>62.499425883606122</v>
      </c>
      <c r="W62" s="275">
        <v>680.35064633981995</v>
      </c>
      <c r="X62" s="275">
        <v>141.00182536354669</v>
      </c>
      <c r="Y62" s="275">
        <v>90.432517945102248</v>
      </c>
      <c r="Z62" s="283">
        <f t="shared" si="9"/>
        <v>0.13162357819262169</v>
      </c>
      <c r="AA62" s="145">
        <f t="shared" si="10"/>
        <v>0.68892452459440823</v>
      </c>
      <c r="AB62" s="145">
        <f t="shared" si="11"/>
        <v>0.14035154971229691</v>
      </c>
      <c r="AC62" s="145">
        <f t="shared" si="12"/>
        <v>0.13098385660645015</v>
      </c>
      <c r="AD62" s="145">
        <f t="shared" si="13"/>
        <v>0.44188169860102483</v>
      </c>
    </row>
    <row r="63" spans="2:30" x14ac:dyDescent="0.25">
      <c r="B63" s="132">
        <v>2021</v>
      </c>
      <c r="C63" s="273" t="s">
        <v>169</v>
      </c>
      <c r="D63" s="274"/>
      <c r="E63" s="274">
        <v>6018.1682382672616</v>
      </c>
      <c r="F63" s="275"/>
      <c r="G63" s="275">
        <v>213.56867530023067</v>
      </c>
      <c r="H63" s="275"/>
      <c r="I63" s="275">
        <v>543.2109120051465</v>
      </c>
      <c r="J63" s="275"/>
      <c r="K63" s="275">
        <v>4200.4158909544685</v>
      </c>
      <c r="L63" s="275"/>
      <c r="M63" s="275">
        <v>948.38684017792082</v>
      </c>
      <c r="N63" s="275"/>
      <c r="O63" s="275">
        <v>112.58591982949463</v>
      </c>
      <c r="P63" s="274">
        <v>2240.6070051503684</v>
      </c>
      <c r="Q63" s="338"/>
      <c r="R63" s="132" t="str">
        <f t="shared" si="7"/>
        <v>Jun - Ago 2021</v>
      </c>
      <c r="S63" s="274">
        <f t="shared" si="8"/>
        <v>8258.7752434176291</v>
      </c>
      <c r="T63" s="275">
        <v>36.959395769169262</v>
      </c>
      <c r="U63" s="275">
        <v>1209.7362236052204</v>
      </c>
      <c r="V63" s="275">
        <v>57.488988246103837</v>
      </c>
      <c r="W63" s="275">
        <v>704.63217463698959</v>
      </c>
      <c r="X63" s="275">
        <v>135.67243733145543</v>
      </c>
      <c r="Y63" s="275">
        <v>96.11778556142977</v>
      </c>
      <c r="Z63" s="283">
        <f t="shared" si="9"/>
        <v>0.14752596629752909</v>
      </c>
      <c r="AA63" s="145">
        <f t="shared" si="10"/>
        <v>0.6901156338545239</v>
      </c>
      <c r="AB63" s="145">
        <f t="shared" si="11"/>
        <v>0.14365448925565708</v>
      </c>
      <c r="AC63" s="145">
        <f t="shared" si="12"/>
        <v>0.12515223119824456</v>
      </c>
      <c r="AD63" s="145">
        <f t="shared" si="13"/>
        <v>0.46054661742296749</v>
      </c>
    </row>
    <row r="64" spans="2:30" x14ac:dyDescent="0.25">
      <c r="B64" s="132">
        <v>2021</v>
      </c>
      <c r="C64" s="273" t="s">
        <v>168</v>
      </c>
      <c r="D64" s="274"/>
      <c r="E64" s="274">
        <v>6037.8683577822931</v>
      </c>
      <c r="F64" s="275"/>
      <c r="G64" s="275">
        <v>217.49697587348922</v>
      </c>
      <c r="H64" s="275"/>
      <c r="I64" s="275">
        <v>546.29015076456926</v>
      </c>
      <c r="J64" s="275"/>
      <c r="K64" s="275">
        <v>4206.0847736737369</v>
      </c>
      <c r="L64" s="275"/>
      <c r="M64" s="275">
        <v>957.40786412776299</v>
      </c>
      <c r="N64" s="275"/>
      <c r="O64" s="275">
        <v>110.58859334273541</v>
      </c>
      <c r="P64" s="274">
        <v>2307.3713777059961</v>
      </c>
      <c r="Q64" s="338"/>
      <c r="R64" s="132" t="str">
        <f t="shared" si="7"/>
        <v>Jul - Sep 2021</v>
      </c>
      <c r="S64" s="274">
        <f t="shared" si="8"/>
        <v>8345.2397354882887</v>
      </c>
      <c r="T64" s="275">
        <v>36.586310713530317</v>
      </c>
      <c r="U64" s="275">
        <v>1245.2504009555043</v>
      </c>
      <c r="V64" s="275">
        <v>58.609092859797009</v>
      </c>
      <c r="W64" s="275">
        <v>719.28386464503944</v>
      </c>
      <c r="X64" s="275">
        <v>146.19500230819006</v>
      </c>
      <c r="Y64" s="275">
        <v>101.4467062239347</v>
      </c>
      <c r="Z64" s="283">
        <f t="shared" si="9"/>
        <v>0.14399337793908801</v>
      </c>
      <c r="AA64" s="145">
        <f t="shared" si="10"/>
        <v>0.69507240556733629</v>
      </c>
      <c r="AB64" s="145">
        <f t="shared" si="11"/>
        <v>0.14603655430968099</v>
      </c>
      <c r="AC64" s="145">
        <f t="shared" si="12"/>
        <v>0.1324706620057283</v>
      </c>
      <c r="AD64" s="145">
        <f t="shared" si="13"/>
        <v>0.47844253495176581</v>
      </c>
    </row>
    <row r="65" spans="2:30" x14ac:dyDescent="0.25">
      <c r="B65" s="132">
        <v>2021</v>
      </c>
      <c r="C65" s="273" t="s">
        <v>167</v>
      </c>
      <c r="D65" s="274"/>
      <c r="E65" s="274">
        <v>6094.8459028199222</v>
      </c>
      <c r="F65" s="275"/>
      <c r="G65" s="275">
        <v>235.57398379186486</v>
      </c>
      <c r="H65" s="275"/>
      <c r="I65" s="275">
        <v>546.84182252759888</v>
      </c>
      <c r="J65" s="275"/>
      <c r="K65" s="275">
        <v>4238.7060693566727</v>
      </c>
      <c r="L65" s="275"/>
      <c r="M65" s="275">
        <v>958.49105074264594</v>
      </c>
      <c r="N65" s="275"/>
      <c r="O65" s="275">
        <v>115.23297640113998</v>
      </c>
      <c r="P65" s="274">
        <v>2361.6653507367828</v>
      </c>
      <c r="Q65" s="338"/>
      <c r="R65" s="132" t="str">
        <f t="shared" si="7"/>
        <v>Ago - Oct 2021</v>
      </c>
      <c r="S65" s="274">
        <f t="shared" si="8"/>
        <v>8456.5112535567059</v>
      </c>
      <c r="T65" s="275">
        <v>41.369858685320914</v>
      </c>
      <c r="U65" s="275">
        <v>1270.3624064745052</v>
      </c>
      <c r="V65" s="275">
        <v>63.496765801695808</v>
      </c>
      <c r="W65" s="275">
        <v>737.41457683879514</v>
      </c>
      <c r="X65" s="275">
        <v>141.26901622880092</v>
      </c>
      <c r="Y65" s="275">
        <v>107.75272670766512</v>
      </c>
      <c r="Z65" s="283">
        <f t="shared" si="9"/>
        <v>0.1493799548503372</v>
      </c>
      <c r="AA65" s="145">
        <f t="shared" si="10"/>
        <v>0.69907519815321439</v>
      </c>
      <c r="AB65" s="145">
        <f t="shared" si="11"/>
        <v>0.14819065478297663</v>
      </c>
      <c r="AC65" s="145">
        <f t="shared" si="12"/>
        <v>0.12845439698300001</v>
      </c>
      <c r="AD65" s="145">
        <f t="shared" si="13"/>
        <v>0.48322706436065793</v>
      </c>
    </row>
    <row r="66" spans="2:30" x14ac:dyDescent="0.25">
      <c r="B66" s="132">
        <v>2021</v>
      </c>
      <c r="C66" s="273" t="s">
        <v>166</v>
      </c>
      <c r="D66" s="274"/>
      <c r="E66" s="274">
        <v>6143.7825392033701</v>
      </c>
      <c r="F66" s="275"/>
      <c r="G66" s="275">
        <v>237.39432758043321</v>
      </c>
      <c r="H66" s="275"/>
      <c r="I66" s="275">
        <v>547.98372453463355</v>
      </c>
      <c r="J66" s="275"/>
      <c r="K66" s="275">
        <v>4305.1340620007395</v>
      </c>
      <c r="L66" s="275"/>
      <c r="M66" s="275">
        <v>938.48407902343081</v>
      </c>
      <c r="N66" s="275"/>
      <c r="O66" s="275">
        <v>114.78634606413256</v>
      </c>
      <c r="P66" s="274">
        <v>2414.5796095640503</v>
      </c>
      <c r="Q66" s="338"/>
      <c r="R66" s="132" t="str">
        <f t="shared" si="7"/>
        <v>Sep - Nov 2021</v>
      </c>
      <c r="S66" s="274">
        <f t="shared" si="8"/>
        <v>8558.3621487674209</v>
      </c>
      <c r="T66" s="275">
        <v>38.026489695839729</v>
      </c>
      <c r="U66" s="275">
        <v>1293.7628959461263</v>
      </c>
      <c r="V66" s="275">
        <v>72.738358385354516</v>
      </c>
      <c r="W66" s="275">
        <v>752.02624813498858</v>
      </c>
      <c r="X66" s="275">
        <v>148.51405795360461</v>
      </c>
      <c r="Y66" s="275">
        <v>109.51155944813654</v>
      </c>
      <c r="Z66" s="283">
        <f t="shared" si="9"/>
        <v>0.13806686826324965</v>
      </c>
      <c r="AA66" s="145">
        <f t="shared" si="10"/>
        <v>0.70246519339799807</v>
      </c>
      <c r="AB66" s="145">
        <f t="shared" si="11"/>
        <v>0.14870524207582519</v>
      </c>
      <c r="AC66" s="145">
        <f t="shared" si="12"/>
        <v>0.13662770238652416</v>
      </c>
      <c r="AD66" s="145">
        <f t="shared" si="13"/>
        <v>0.48824156069592123</v>
      </c>
    </row>
    <row r="67" spans="2:30" x14ac:dyDescent="0.25">
      <c r="B67" s="132">
        <v>2021</v>
      </c>
      <c r="C67" s="273" t="s">
        <v>165</v>
      </c>
      <c r="D67" s="274"/>
      <c r="E67" s="274">
        <v>6224.165977375661</v>
      </c>
      <c r="F67" s="275"/>
      <c r="G67" s="275">
        <v>240.54279155213581</v>
      </c>
      <c r="H67" s="275"/>
      <c r="I67" s="275">
        <v>538.83802873136335</v>
      </c>
      <c r="J67" s="275"/>
      <c r="K67" s="275">
        <v>4378.7763307443738</v>
      </c>
      <c r="L67" s="275"/>
      <c r="M67" s="275">
        <v>954.20964531262871</v>
      </c>
      <c r="N67" s="275"/>
      <c r="O67" s="275">
        <v>111.79918103515975</v>
      </c>
      <c r="P67" s="274">
        <v>2454.1208283197443</v>
      </c>
      <c r="Q67" s="338"/>
      <c r="R67" s="132" t="str">
        <f t="shared" si="7"/>
        <v>Oct - Dic 2021</v>
      </c>
      <c r="S67" s="274">
        <f t="shared" si="8"/>
        <v>8678.2868056954048</v>
      </c>
      <c r="T67" s="275">
        <v>40.57103110553939</v>
      </c>
      <c r="U67" s="275">
        <v>1315.7935952027581</v>
      </c>
      <c r="V67" s="275">
        <v>79.211229471969233</v>
      </c>
      <c r="W67" s="275">
        <v>757.2613109547666</v>
      </c>
      <c r="X67" s="275">
        <v>150.03885587595198</v>
      </c>
      <c r="Y67" s="275">
        <v>111.24480570875885</v>
      </c>
      <c r="Z67" s="283">
        <f t="shared" si="9"/>
        <v>0.14432243395923131</v>
      </c>
      <c r="AA67" s="145">
        <f t="shared" si="10"/>
        <v>0.7094635819978321</v>
      </c>
      <c r="AB67" s="145">
        <f t="shared" si="11"/>
        <v>0.14744076344118148</v>
      </c>
      <c r="AC67" s="145">
        <f t="shared" si="12"/>
        <v>0.13587417661373738</v>
      </c>
      <c r="AD67" s="145">
        <f t="shared" si="13"/>
        <v>0.49875725112679814</v>
      </c>
    </row>
    <row r="68" spans="2:30" x14ac:dyDescent="0.25">
      <c r="B68" s="132">
        <v>2021</v>
      </c>
      <c r="C68" s="273" t="s">
        <v>164</v>
      </c>
      <c r="D68" s="274" t="s">
        <v>192</v>
      </c>
      <c r="E68" s="274">
        <v>6270.3213493877802</v>
      </c>
      <c r="F68" s="275" t="s">
        <v>192</v>
      </c>
      <c r="G68" s="275">
        <v>232.80151728628101</v>
      </c>
      <c r="H68" s="275" t="s">
        <v>192</v>
      </c>
      <c r="I68" s="275">
        <v>537.18470907958704</v>
      </c>
      <c r="J68" s="275" t="s">
        <v>192</v>
      </c>
      <c r="K68" s="275">
        <v>4442.2896089244896</v>
      </c>
      <c r="L68" s="275" t="s">
        <v>192</v>
      </c>
      <c r="M68" s="275">
        <v>947.51763350974102</v>
      </c>
      <c r="N68" s="275" t="s">
        <v>192</v>
      </c>
      <c r="O68" s="275">
        <v>110.52788058768699</v>
      </c>
      <c r="P68" s="274">
        <v>2442.56883906454</v>
      </c>
      <c r="Q68" s="338"/>
      <c r="R68" s="132" t="str">
        <f t="shared" si="7"/>
        <v>Nov - Ene 2021</v>
      </c>
      <c r="S68" s="274">
        <f t="shared" si="8"/>
        <v>8712.8901884523202</v>
      </c>
      <c r="T68" s="275">
        <v>41.1129986110221</v>
      </c>
      <c r="U68" s="275">
        <v>1283.4601845413899</v>
      </c>
      <c r="V68" s="275">
        <v>70.828768669248106</v>
      </c>
      <c r="W68" s="275">
        <v>788.839836892535</v>
      </c>
      <c r="X68" s="275">
        <v>148.177534144432</v>
      </c>
      <c r="Y68" s="275">
        <v>110.149516205916</v>
      </c>
      <c r="Z68" s="283">
        <f t="shared" si="9"/>
        <v>0.1500942674627595</v>
      </c>
      <c r="AA68" s="145">
        <f t="shared" si="10"/>
        <v>0.70494811428536674</v>
      </c>
      <c r="AB68" s="145">
        <f t="shared" si="11"/>
        <v>0.1507972312792443</v>
      </c>
      <c r="AC68" s="145">
        <f t="shared" si="12"/>
        <v>0.1352360935037</v>
      </c>
      <c r="AD68" s="145">
        <f t="shared" si="13"/>
        <v>0.49914272057929682</v>
      </c>
    </row>
    <row r="69" spans="2:30" x14ac:dyDescent="0.25">
      <c r="B69" s="132">
        <v>2022</v>
      </c>
      <c r="C69" s="273" t="s">
        <v>163</v>
      </c>
      <c r="D69" s="274" t="s">
        <v>192</v>
      </c>
      <c r="E69" s="274">
        <v>6329.7242138542597</v>
      </c>
      <c r="F69" s="275" t="s">
        <v>192</v>
      </c>
      <c r="G69" s="275">
        <v>224.353791296667</v>
      </c>
      <c r="H69" s="275" t="s">
        <v>192</v>
      </c>
      <c r="I69" s="275">
        <v>524.56463371891903</v>
      </c>
      <c r="J69" s="275" t="s">
        <v>192</v>
      </c>
      <c r="K69" s="275">
        <v>4512.1712689727901</v>
      </c>
      <c r="L69" s="275" t="s">
        <v>192</v>
      </c>
      <c r="M69" s="275">
        <v>965.51092261849999</v>
      </c>
      <c r="N69" s="275" t="s">
        <v>192</v>
      </c>
      <c r="O69" s="275">
        <v>103.123597247386</v>
      </c>
      <c r="P69" s="274">
        <v>2438.92045334571</v>
      </c>
      <c r="Q69" s="338"/>
      <c r="R69" s="132" t="str">
        <f t="shared" si="7"/>
        <v>Dic - Feb 2022</v>
      </c>
      <c r="S69" s="274">
        <f t="shared" si="8"/>
        <v>8768.6446671999693</v>
      </c>
      <c r="T69" s="275">
        <v>42.388641197267901</v>
      </c>
      <c r="U69" s="275">
        <v>1248.09074307329</v>
      </c>
      <c r="V69" s="275">
        <v>64.346352873579207</v>
      </c>
      <c r="W69" s="275">
        <v>826.68700148670905</v>
      </c>
      <c r="X69" s="275">
        <v>144.915164397106</v>
      </c>
      <c r="Y69" s="275">
        <v>112.492550317761</v>
      </c>
      <c r="Z69" s="283">
        <f t="shared" si="9"/>
        <v>0.15891225404578901</v>
      </c>
      <c r="AA69" s="145">
        <f t="shared" si="10"/>
        <v>0.70407974353809855</v>
      </c>
      <c r="AB69" s="145">
        <f t="shared" si="11"/>
        <v>0.15484340651274839</v>
      </c>
      <c r="AC69" s="145">
        <f t="shared" si="12"/>
        <v>0.13050410656920144</v>
      </c>
      <c r="AD69" s="145">
        <f t="shared" si="13"/>
        <v>0.52172600052494733</v>
      </c>
    </row>
    <row r="70" spans="2:30" x14ac:dyDescent="0.25">
      <c r="B70" s="132">
        <v>2022</v>
      </c>
      <c r="C70" s="273" t="s">
        <v>162</v>
      </c>
      <c r="D70" s="274" t="s">
        <v>192</v>
      </c>
      <c r="E70" s="274">
        <v>6398.6769191889298</v>
      </c>
      <c r="F70" s="275" t="s">
        <v>192</v>
      </c>
      <c r="G70" s="275">
        <v>230.71396747215999</v>
      </c>
      <c r="H70" s="275" t="s">
        <v>192</v>
      </c>
      <c r="I70" s="275">
        <v>545.01510242839504</v>
      </c>
      <c r="J70" s="275" t="s">
        <v>192</v>
      </c>
      <c r="K70" s="275">
        <v>4551.5504529480504</v>
      </c>
      <c r="L70" s="275" t="s">
        <v>192</v>
      </c>
      <c r="M70" s="275">
        <v>964.55342532792395</v>
      </c>
      <c r="N70" s="275" t="s">
        <v>192</v>
      </c>
      <c r="O70" s="275">
        <v>106.843971012392</v>
      </c>
      <c r="P70" s="274">
        <v>2398.8841450801001</v>
      </c>
      <c r="Q70" s="338"/>
      <c r="R70" s="132" t="str">
        <f t="shared" si="7"/>
        <v>Ene - Mar 2022</v>
      </c>
      <c r="S70" s="274">
        <f t="shared" si="8"/>
        <v>8797.5610642690299</v>
      </c>
      <c r="T70" s="275">
        <v>41.421952673428997</v>
      </c>
      <c r="U70" s="275">
        <v>1235.9771336205199</v>
      </c>
      <c r="V70" s="275">
        <v>57.5267342742209</v>
      </c>
      <c r="W70" s="275">
        <v>816.25607451931398</v>
      </c>
      <c r="X70" s="275">
        <v>135.056309235714</v>
      </c>
      <c r="Y70" s="275">
        <v>112.64594075690999</v>
      </c>
      <c r="Z70" s="283">
        <f t="shared" si="9"/>
        <v>0.15221053013240154</v>
      </c>
      <c r="AA70" s="145">
        <f t="shared" si="10"/>
        <v>0.69398232547184102</v>
      </c>
      <c r="AB70" s="145">
        <f t="shared" si="11"/>
        <v>0.15206510710519955</v>
      </c>
      <c r="AC70" s="145">
        <f t="shared" si="12"/>
        <v>0.12282203857472114</v>
      </c>
      <c r="AD70" s="145">
        <f t="shared" si="13"/>
        <v>0.51321693944324931</v>
      </c>
    </row>
    <row r="71" spans="2:30" x14ac:dyDescent="0.25">
      <c r="B71" s="132">
        <v>2022</v>
      </c>
      <c r="C71" s="273" t="s">
        <v>173</v>
      </c>
      <c r="D71" s="274" t="s">
        <v>192</v>
      </c>
      <c r="E71" s="274">
        <v>6434.8789904825899</v>
      </c>
      <c r="F71" s="275" t="s">
        <v>192</v>
      </c>
      <c r="G71" s="275">
        <v>236.44502768215199</v>
      </c>
      <c r="H71" s="275" t="s">
        <v>192</v>
      </c>
      <c r="I71" s="275">
        <v>554.32717299800299</v>
      </c>
      <c r="J71" s="275" t="s">
        <v>192</v>
      </c>
      <c r="K71" s="275">
        <v>4546.0491260511999</v>
      </c>
      <c r="L71" s="275" t="s">
        <v>192</v>
      </c>
      <c r="M71" s="275">
        <v>981.21133378729405</v>
      </c>
      <c r="N71" s="275" t="s">
        <v>192</v>
      </c>
      <c r="O71" s="275">
        <v>116.846329963938</v>
      </c>
      <c r="P71" s="274">
        <v>2400.5986417897102</v>
      </c>
      <c r="Q71" s="338"/>
      <c r="R71" s="132" t="str">
        <f t="shared" si="7"/>
        <v>Feb - Abr 2022</v>
      </c>
      <c r="S71" s="274">
        <f t="shared" si="8"/>
        <v>8835.477632272301</v>
      </c>
      <c r="T71" s="275">
        <v>40.118012402700401</v>
      </c>
      <c r="U71" s="275">
        <v>1244.7900880900499</v>
      </c>
      <c r="V71" s="275">
        <v>57.137694605715602</v>
      </c>
      <c r="W71" s="275">
        <v>795.42981267957498</v>
      </c>
      <c r="X71" s="275">
        <v>143.93291976272499</v>
      </c>
      <c r="Y71" s="275">
        <v>119.190114248942</v>
      </c>
      <c r="Z71" s="283">
        <f t="shared" si="9"/>
        <v>0.14505919659543728</v>
      </c>
      <c r="AA71" s="145">
        <f t="shared" si="10"/>
        <v>0.691889358749878</v>
      </c>
      <c r="AB71" s="145">
        <f t="shared" si="11"/>
        <v>0.1489156508531666</v>
      </c>
      <c r="AC71" s="145">
        <f t="shared" si="12"/>
        <v>0.12792397002303701</v>
      </c>
      <c r="AD71" s="145">
        <f t="shared" si="13"/>
        <v>0.5049648779721706</v>
      </c>
    </row>
    <row r="72" spans="2:30" x14ac:dyDescent="0.25">
      <c r="B72" s="132">
        <v>2022</v>
      </c>
      <c r="C72" s="273" t="s">
        <v>172</v>
      </c>
      <c r="D72" s="274" t="s">
        <v>192</v>
      </c>
      <c r="E72" s="274">
        <v>6433.2861392867699</v>
      </c>
      <c r="F72" s="275" t="s">
        <v>192</v>
      </c>
      <c r="G72" s="275">
        <v>250.877031086572</v>
      </c>
      <c r="H72" s="275" t="s">
        <v>192</v>
      </c>
      <c r="I72" s="275">
        <v>578.60975971060304</v>
      </c>
      <c r="J72" s="275" t="s">
        <v>192</v>
      </c>
      <c r="K72" s="275">
        <v>4507.68847445557</v>
      </c>
      <c r="L72" s="275" t="s">
        <v>192</v>
      </c>
      <c r="M72" s="275">
        <v>979.68845624123298</v>
      </c>
      <c r="N72" s="275" t="s">
        <v>192</v>
      </c>
      <c r="O72" s="275">
        <v>116.422417792799</v>
      </c>
      <c r="P72" s="274">
        <v>2421.7897313117701</v>
      </c>
      <c r="Q72" s="338"/>
      <c r="R72" s="132" t="str">
        <f t="shared" si="7"/>
        <v>Mar - May 2022</v>
      </c>
      <c r="S72" s="274">
        <f t="shared" si="8"/>
        <v>8855.075870598539</v>
      </c>
      <c r="T72" s="275">
        <v>37.537652965114297</v>
      </c>
      <c r="U72" s="275">
        <v>1303.0417568791199</v>
      </c>
      <c r="V72" s="275">
        <v>58.304662717508599</v>
      </c>
      <c r="W72" s="275">
        <v>769.42591436577197</v>
      </c>
      <c r="X72" s="275">
        <v>134.99006483440999</v>
      </c>
      <c r="Y72" s="275">
        <v>118.489679549844</v>
      </c>
      <c r="Z72" s="283">
        <f t="shared" si="9"/>
        <v>0.13015167063542171</v>
      </c>
      <c r="AA72" s="145">
        <f t="shared" si="10"/>
        <v>0.69249898049174019</v>
      </c>
      <c r="AB72" s="145">
        <f t="shared" si="11"/>
        <v>0.14580428955560795</v>
      </c>
      <c r="AC72" s="145">
        <f t="shared" si="12"/>
        <v>0.12110223914976601</v>
      </c>
      <c r="AD72" s="145">
        <f t="shared" si="13"/>
        <v>0.50440007513540197</v>
      </c>
    </row>
    <row r="73" spans="2:30" x14ac:dyDescent="0.25">
      <c r="B73" s="132">
        <v>2022</v>
      </c>
      <c r="C73" s="273" t="s">
        <v>171</v>
      </c>
      <c r="D73" s="274" t="s">
        <v>192</v>
      </c>
      <c r="E73" s="274">
        <v>6442.4989297231004</v>
      </c>
      <c r="F73" s="275" t="s">
        <v>192</v>
      </c>
      <c r="G73" s="275">
        <v>253.30045100316499</v>
      </c>
      <c r="H73" s="275" t="s">
        <v>192</v>
      </c>
      <c r="I73" s="275">
        <v>571.87283194817803</v>
      </c>
      <c r="J73" s="275" t="s">
        <v>192</v>
      </c>
      <c r="K73" s="275">
        <v>4524.9146144475299</v>
      </c>
      <c r="L73" s="275" t="s">
        <v>192</v>
      </c>
      <c r="M73" s="275">
        <v>975.87340847181395</v>
      </c>
      <c r="N73" s="275" t="s">
        <v>192</v>
      </c>
      <c r="O73" s="275">
        <v>116.537623852416</v>
      </c>
      <c r="P73" s="274">
        <v>2395.9331461013699</v>
      </c>
      <c r="Q73" s="338"/>
      <c r="R73" s="132" t="str">
        <f t="shared" si="7"/>
        <v>Abr - Jun 2022</v>
      </c>
      <c r="S73" s="274">
        <f t="shared" si="8"/>
        <v>8838.4320758244703</v>
      </c>
      <c r="T73" s="275">
        <v>35.556307352357003</v>
      </c>
      <c r="U73" s="275">
        <v>1271.5449815092099</v>
      </c>
      <c r="V73" s="275">
        <v>59.032075789402199</v>
      </c>
      <c r="W73" s="275">
        <v>769.01037743854499</v>
      </c>
      <c r="X73" s="275">
        <v>139.213615375995</v>
      </c>
      <c r="Y73" s="275">
        <v>121.575788635864</v>
      </c>
      <c r="Z73" s="283">
        <f t="shared" si="9"/>
        <v>0.12309321601052746</v>
      </c>
      <c r="AA73" s="145">
        <f t="shared" si="10"/>
        <v>0.68977579159028923</v>
      </c>
      <c r="AB73" s="145">
        <f t="shared" si="11"/>
        <v>0.14526280191298449</v>
      </c>
      <c r="AC73" s="145">
        <f t="shared" si="12"/>
        <v>0.12484551644732921</v>
      </c>
      <c r="AD73" s="145">
        <f t="shared" si="13"/>
        <v>0.51057933849840564</v>
      </c>
    </row>
    <row r="74" spans="2:30" x14ac:dyDescent="0.25">
      <c r="B74" s="132">
        <v>2022</v>
      </c>
      <c r="C74" s="273" t="s">
        <v>170</v>
      </c>
      <c r="D74" s="274" t="s">
        <v>192</v>
      </c>
      <c r="E74" s="274">
        <v>6492.3326177346198</v>
      </c>
      <c r="F74" s="275" t="s">
        <v>192</v>
      </c>
      <c r="G74" s="275">
        <v>255.839329063479</v>
      </c>
      <c r="H74" s="275" t="s">
        <v>192</v>
      </c>
      <c r="I74" s="275">
        <v>575.44980577781098</v>
      </c>
      <c r="J74" s="275" t="s">
        <v>192</v>
      </c>
      <c r="K74" s="275">
        <v>4567.7967497869504</v>
      </c>
      <c r="L74" s="275" t="s">
        <v>192</v>
      </c>
      <c r="M74" s="275">
        <v>982.13747928085195</v>
      </c>
      <c r="N74" s="275" t="s">
        <v>192</v>
      </c>
      <c r="O74" s="275">
        <v>111.109253825526</v>
      </c>
      <c r="P74" s="274">
        <v>2357.4987089103302</v>
      </c>
      <c r="Q74" s="338"/>
      <c r="R74" s="132" t="str">
        <f t="shared" si="7"/>
        <v>May - Jul 2022</v>
      </c>
      <c r="S74" s="274">
        <f t="shared" si="8"/>
        <v>8849.8313266449495</v>
      </c>
      <c r="T74" s="275">
        <v>35.895650654865698</v>
      </c>
      <c r="U74" s="275">
        <v>1247.0287692156801</v>
      </c>
      <c r="V74" s="275">
        <v>58.9355659229822</v>
      </c>
      <c r="W74" s="275">
        <v>758.72704300947805</v>
      </c>
      <c r="X74" s="275">
        <v>132.448598525346</v>
      </c>
      <c r="Y74" s="275">
        <v>124.463081581976</v>
      </c>
      <c r="Z74" s="283">
        <f t="shared" si="9"/>
        <v>0.12304198382217013</v>
      </c>
      <c r="AA74" s="145">
        <f t="shared" si="10"/>
        <v>0.68424879519921589</v>
      </c>
      <c r="AB74" s="145">
        <f t="shared" si="11"/>
        <v>0.14244319044168691</v>
      </c>
      <c r="AC74" s="145">
        <f t="shared" si="12"/>
        <v>0.11883209485806615</v>
      </c>
      <c r="AD74" s="145">
        <f t="shared" si="13"/>
        <v>0.52834337005945542</v>
      </c>
    </row>
    <row r="75" spans="2:30" x14ac:dyDescent="0.25">
      <c r="B75" s="132">
        <v>2022</v>
      </c>
      <c r="C75" s="273" t="s">
        <v>169</v>
      </c>
      <c r="D75" s="274" t="s">
        <v>192</v>
      </c>
      <c r="E75" s="274">
        <v>6492.90403563364</v>
      </c>
      <c r="F75" s="275" t="s">
        <v>192</v>
      </c>
      <c r="G75" s="275">
        <v>256.55213835146901</v>
      </c>
      <c r="H75" s="275" t="s">
        <v>192</v>
      </c>
      <c r="I75" s="275">
        <v>577.10650196096503</v>
      </c>
      <c r="J75" s="275" t="s">
        <v>192</v>
      </c>
      <c r="K75" s="275">
        <v>4563.1931836024996</v>
      </c>
      <c r="L75" s="275" t="s">
        <v>192</v>
      </c>
      <c r="M75" s="275">
        <v>984.29294733299105</v>
      </c>
      <c r="N75" s="275" t="s">
        <v>192</v>
      </c>
      <c r="O75" s="275">
        <v>111.759264385715</v>
      </c>
      <c r="P75" s="274">
        <v>2360.3891512272498</v>
      </c>
      <c r="Q75" s="338"/>
      <c r="R75" s="132" t="str">
        <f t="shared" si="7"/>
        <v>Jun - Ago 2022</v>
      </c>
      <c r="S75" s="274">
        <f t="shared" si="8"/>
        <v>8853.2931868608903</v>
      </c>
      <c r="T75" s="275">
        <v>36.424481623115803</v>
      </c>
      <c r="U75" s="275">
        <v>1249.64916416801</v>
      </c>
      <c r="V75" s="275">
        <v>58.486745945906897</v>
      </c>
      <c r="W75" s="275">
        <v>758.59110072860801</v>
      </c>
      <c r="X75" s="275">
        <v>136.127747652604</v>
      </c>
      <c r="Y75" s="275">
        <v>121.109911108999</v>
      </c>
      <c r="Z75" s="283">
        <f t="shared" si="9"/>
        <v>0.12432555753519021</v>
      </c>
      <c r="AA75" s="145">
        <f t="shared" si="10"/>
        <v>0.68408117590028084</v>
      </c>
      <c r="AB75" s="145">
        <f t="shared" si="11"/>
        <v>0.14254450391048779</v>
      </c>
      <c r="AC75" s="145">
        <f t="shared" si="12"/>
        <v>0.12149699506786972</v>
      </c>
      <c r="AD75" s="145">
        <f t="shared" si="13"/>
        <v>0.52007703832724794</v>
      </c>
    </row>
    <row r="76" spans="2:30" x14ac:dyDescent="0.25">
      <c r="B76" s="132">
        <v>2022</v>
      </c>
      <c r="C76" s="273" t="s">
        <v>168</v>
      </c>
      <c r="D76" s="274" t="s">
        <v>192</v>
      </c>
      <c r="E76" s="274">
        <v>6450.3026360063404</v>
      </c>
      <c r="F76" s="275" t="s">
        <v>192</v>
      </c>
      <c r="G76" s="275">
        <v>253.88506459456599</v>
      </c>
      <c r="H76" s="275" t="s">
        <v>192</v>
      </c>
      <c r="I76" s="275">
        <v>599.639503747905</v>
      </c>
      <c r="J76" s="275" t="s">
        <v>192</v>
      </c>
      <c r="K76" s="275">
        <v>4516.9228508999904</v>
      </c>
      <c r="L76" s="275" t="s">
        <v>192</v>
      </c>
      <c r="M76" s="275">
        <v>977.94451670266096</v>
      </c>
      <c r="N76" s="275" t="s">
        <v>192</v>
      </c>
      <c r="O76" s="275">
        <v>101.910700061216</v>
      </c>
      <c r="P76" s="274">
        <v>2393.2415721826401</v>
      </c>
      <c r="Q76" s="338"/>
      <c r="R76" s="132" t="str">
        <f t="shared" si="7"/>
        <v>Jul - Sep 2022</v>
      </c>
      <c r="S76" s="274">
        <f t="shared" si="8"/>
        <v>8843.5442081889814</v>
      </c>
      <c r="T76" s="275">
        <v>39.259998577475301</v>
      </c>
      <c r="U76" s="275">
        <v>1259.24368056295</v>
      </c>
      <c r="V76" s="275">
        <v>57.492718857227203</v>
      </c>
      <c r="W76" s="275">
        <v>778.05622422321596</v>
      </c>
      <c r="X76" s="275">
        <v>134.56922447548101</v>
      </c>
      <c r="Y76" s="275">
        <v>124.619725486287</v>
      </c>
      <c r="Z76" s="283">
        <f t="shared" si="9"/>
        <v>0.13392686253233727</v>
      </c>
      <c r="AA76" s="145">
        <f t="shared" si="10"/>
        <v>0.67741948025087451</v>
      </c>
      <c r="AB76" s="145">
        <f t="shared" si="11"/>
        <v>0.14694226609481204</v>
      </c>
      <c r="AC76" s="145">
        <f t="shared" si="12"/>
        <v>0.12095960660492464</v>
      </c>
      <c r="AD76" s="145">
        <f t="shared" si="13"/>
        <v>0.55012356589668998</v>
      </c>
    </row>
    <row r="77" spans="2:30" x14ac:dyDescent="0.25">
      <c r="B77" s="132">
        <v>2022</v>
      </c>
      <c r="C77" s="273" t="s">
        <v>167</v>
      </c>
      <c r="D77" s="274" t="s">
        <v>192</v>
      </c>
      <c r="E77" s="274">
        <v>6415.5632211031698</v>
      </c>
      <c r="F77" s="275" t="s">
        <v>192</v>
      </c>
      <c r="G77" s="275">
        <v>243.908743965262</v>
      </c>
      <c r="H77" s="275" t="s">
        <v>192</v>
      </c>
      <c r="I77" s="275">
        <v>594.96897386347302</v>
      </c>
      <c r="J77" s="275" t="s">
        <v>192</v>
      </c>
      <c r="K77" s="275">
        <v>4499.8825762291999</v>
      </c>
      <c r="L77" s="275" t="s">
        <v>192</v>
      </c>
      <c r="M77" s="275">
        <v>968.382564671267</v>
      </c>
      <c r="N77" s="275" t="s">
        <v>192</v>
      </c>
      <c r="O77" s="275">
        <v>108.420362373975</v>
      </c>
      <c r="P77" s="274">
        <v>2453.7597901385202</v>
      </c>
      <c r="Q77" s="338"/>
      <c r="R77" s="132" t="str">
        <f t="shared" si="7"/>
        <v>Ago - Oct 2022</v>
      </c>
      <c r="S77" s="274">
        <f t="shared" si="8"/>
        <v>8869.3230112416895</v>
      </c>
      <c r="T77" s="275">
        <v>38.181270263273397</v>
      </c>
      <c r="U77" s="275">
        <v>1277.8831496421101</v>
      </c>
      <c r="V77" s="275">
        <v>61.1283139887597</v>
      </c>
      <c r="W77" s="275">
        <v>813.26057572783202</v>
      </c>
      <c r="X77" s="275">
        <v>141.20521724456299</v>
      </c>
      <c r="Y77" s="275">
        <v>122.101263271986</v>
      </c>
      <c r="Z77" s="283">
        <f t="shared" si="9"/>
        <v>0.13535137132624914</v>
      </c>
      <c r="AA77" s="145">
        <f t="shared" si="10"/>
        <v>0.68231929985490958</v>
      </c>
      <c r="AB77" s="145">
        <f t="shared" si="11"/>
        <v>0.15306581292248397</v>
      </c>
      <c r="AC77" s="145">
        <f t="shared" si="12"/>
        <v>0.12725916736461901</v>
      </c>
      <c r="AD77" s="145">
        <f t="shared" si="13"/>
        <v>0.52967379060353836</v>
      </c>
    </row>
    <row r="78" spans="2:30" x14ac:dyDescent="0.25">
      <c r="B78" s="132">
        <v>2022</v>
      </c>
      <c r="C78" s="273" t="s">
        <v>166</v>
      </c>
      <c r="D78" s="274" t="s">
        <v>192</v>
      </c>
      <c r="E78" s="274">
        <v>6460.0604044224901</v>
      </c>
      <c r="F78" s="275" t="s">
        <v>192</v>
      </c>
      <c r="G78" s="275">
        <v>243.34471850005801</v>
      </c>
      <c r="H78" s="275" t="s">
        <v>192</v>
      </c>
      <c r="I78" s="275">
        <v>583.08261995802297</v>
      </c>
      <c r="J78" s="275" t="s">
        <v>192</v>
      </c>
      <c r="K78" s="275">
        <v>4564.1491302189497</v>
      </c>
      <c r="L78" s="275" t="s">
        <v>192</v>
      </c>
      <c r="M78" s="275">
        <v>955.636324000424</v>
      </c>
      <c r="N78" s="275" t="s">
        <v>192</v>
      </c>
      <c r="O78" s="275">
        <v>113.847611745035</v>
      </c>
      <c r="P78" s="274">
        <v>2423.0300296195801</v>
      </c>
      <c r="Q78" s="338"/>
      <c r="R78" s="132" t="str">
        <f t="shared" si="7"/>
        <v>Sep - Nov 2022</v>
      </c>
      <c r="S78" s="274">
        <f t="shared" si="8"/>
        <v>8883.0904340420711</v>
      </c>
      <c r="T78" s="275">
        <v>37.555016417917599</v>
      </c>
      <c r="U78" s="275">
        <v>1224.2180443346101</v>
      </c>
      <c r="V78" s="275">
        <v>60.227888316939598</v>
      </c>
      <c r="W78" s="275">
        <v>834.74893265907997</v>
      </c>
      <c r="X78" s="275">
        <v>141.48040090176301</v>
      </c>
      <c r="Y78" s="275">
        <v>124.799746989271</v>
      </c>
      <c r="Z78" s="283">
        <f t="shared" si="9"/>
        <v>0.13369544983331469</v>
      </c>
      <c r="AA78" s="145">
        <f t="shared" si="10"/>
        <v>0.67737375884480289</v>
      </c>
      <c r="AB78" s="145">
        <f t="shared" si="11"/>
        <v>0.15461468672629361</v>
      </c>
      <c r="AC78" s="145">
        <f t="shared" si="12"/>
        <v>0.12895656195048585</v>
      </c>
      <c r="AD78" s="145">
        <f t="shared" si="13"/>
        <v>0.52294627374533265</v>
      </c>
    </row>
    <row r="79" spans="2:30" x14ac:dyDescent="0.25">
      <c r="B79" s="132">
        <v>2022</v>
      </c>
      <c r="C79" s="273" t="s">
        <v>165</v>
      </c>
      <c r="D79" s="274" t="s">
        <v>192</v>
      </c>
      <c r="E79" s="274">
        <v>6511.6657689039002</v>
      </c>
      <c r="F79" s="275" t="s">
        <v>192</v>
      </c>
      <c r="G79" s="275">
        <v>244.656547478596</v>
      </c>
      <c r="H79" s="275" t="s">
        <v>192</v>
      </c>
      <c r="I79" s="275">
        <v>569.30111396664597</v>
      </c>
      <c r="J79" s="275" t="s">
        <v>192</v>
      </c>
      <c r="K79" s="275">
        <v>4612.4085967377096</v>
      </c>
      <c r="L79" s="275" t="s">
        <v>192</v>
      </c>
      <c r="M79" s="275">
        <v>971.05769095590097</v>
      </c>
      <c r="N79" s="275" t="s">
        <v>192</v>
      </c>
      <c r="O79" s="275">
        <v>114.241819765049</v>
      </c>
      <c r="P79" s="274">
        <v>2453.56461103226</v>
      </c>
      <c r="Q79" s="338"/>
      <c r="R79" s="132" t="str">
        <f t="shared" si="7"/>
        <v>Oct - Dic 2022</v>
      </c>
      <c r="S79" s="274">
        <f t="shared" si="8"/>
        <v>8965.2303799361598</v>
      </c>
      <c r="T79" s="275">
        <v>41.793074191125498</v>
      </c>
      <c r="U79" s="275">
        <v>1239.18386112489</v>
      </c>
      <c r="V79" s="275">
        <v>68.232445705166796</v>
      </c>
      <c r="W79" s="275">
        <v>829.86635535478399</v>
      </c>
      <c r="X79" s="275">
        <v>144.74492747562701</v>
      </c>
      <c r="Y79" s="275">
        <v>129.74394718066199</v>
      </c>
      <c r="Z79" s="283">
        <f t="shared" si="9"/>
        <v>0.1459002596949254</v>
      </c>
      <c r="AA79" s="145">
        <f t="shared" si="10"/>
        <v>0.68520550526673252</v>
      </c>
      <c r="AB79" s="145">
        <f t="shared" si="11"/>
        <v>0.15248519464010352</v>
      </c>
      <c r="AC79" s="145">
        <f t="shared" si="12"/>
        <v>0.12972269923429061</v>
      </c>
      <c r="AD79" s="145">
        <f t="shared" si="13"/>
        <v>0.5317685076668065</v>
      </c>
    </row>
    <row r="80" spans="2:30" x14ac:dyDescent="0.25">
      <c r="B80" s="132">
        <v>2022</v>
      </c>
      <c r="C80" s="273" t="s">
        <v>164</v>
      </c>
      <c r="D80" s="274" t="s">
        <v>192</v>
      </c>
      <c r="E80" s="274">
        <v>6551.5725433666903</v>
      </c>
      <c r="F80" s="275" t="s">
        <v>192</v>
      </c>
      <c r="G80" s="275">
        <v>251.91399125339899</v>
      </c>
      <c r="H80" s="275" t="s">
        <v>192</v>
      </c>
      <c r="I80" s="275">
        <v>562.35878777999403</v>
      </c>
      <c r="J80" s="275" t="s">
        <v>192</v>
      </c>
      <c r="K80" s="275">
        <v>4635.0939390890599</v>
      </c>
      <c r="L80" s="275" t="s">
        <v>192</v>
      </c>
      <c r="M80" s="275">
        <v>996.93847155004596</v>
      </c>
      <c r="N80" s="275" t="s">
        <v>192</v>
      </c>
      <c r="O80" s="275">
        <v>105.267353694186</v>
      </c>
      <c r="P80" s="274">
        <v>2456.97331242673</v>
      </c>
      <c r="Q80" s="338"/>
      <c r="R80" s="132" t="str">
        <f t="shared" ref="R80:R94" si="14">+C80&amp;" "&amp;B80</f>
        <v>Nov - Ene 2022</v>
      </c>
      <c r="S80" s="274">
        <f t="shared" ref="S80:S94" si="15">+E80+P80</f>
        <v>9008.5458557934198</v>
      </c>
      <c r="T80" s="275">
        <v>48.534723201833998</v>
      </c>
      <c r="U80" s="275">
        <v>1226.7293808593099</v>
      </c>
      <c r="V80" s="275">
        <v>65.978822949987702</v>
      </c>
      <c r="W80" s="275">
        <v>845.92094244298505</v>
      </c>
      <c r="X80" s="275">
        <v>143.84686008644201</v>
      </c>
      <c r="Y80" s="275">
        <v>125.962582886172</v>
      </c>
      <c r="Z80" s="283">
        <f t="shared" ref="Z80:Z94" si="16">+T80/(G80+T80)</f>
        <v>0.1615407917116107</v>
      </c>
      <c r="AA80" s="145">
        <f t="shared" ref="AA80:AA94" si="17">+U80/(I80+U80)</f>
        <v>0.68567296031715552</v>
      </c>
      <c r="AB80" s="145">
        <f t="shared" ref="AB80:AB94" si="18">+W80/(K80+W80)</f>
        <v>0.15433655276019514</v>
      </c>
      <c r="AC80" s="145">
        <f t="shared" ref="AC80:AC94" si="19">+X80/(M80+X80)</f>
        <v>0.12609459124100914</v>
      </c>
      <c r="AD80" s="145">
        <f t="shared" ref="AD80:AD94" si="20">+Y80/(O80+Y80)</f>
        <v>0.5447503240671302</v>
      </c>
    </row>
    <row r="81" spans="2:30" x14ac:dyDescent="0.25">
      <c r="B81" s="132">
        <v>2023</v>
      </c>
      <c r="C81" s="273" t="s">
        <v>163</v>
      </c>
      <c r="D81" s="274" t="s">
        <v>192</v>
      </c>
      <c r="E81" s="274">
        <v>6563.7295069834299</v>
      </c>
      <c r="F81" s="275" t="s">
        <v>192</v>
      </c>
      <c r="G81" s="275">
        <v>242.99145532820199</v>
      </c>
      <c r="H81" s="275" t="s">
        <v>192</v>
      </c>
      <c r="I81" s="275">
        <v>579.45742410882394</v>
      </c>
      <c r="J81" s="275" t="s">
        <v>192</v>
      </c>
      <c r="K81" s="275">
        <v>4600.2388966750204</v>
      </c>
      <c r="L81" s="275" t="s">
        <v>192</v>
      </c>
      <c r="M81" s="275">
        <v>1045.9195602023899</v>
      </c>
      <c r="N81" s="275" t="s">
        <v>192</v>
      </c>
      <c r="O81" s="275">
        <v>95.122170668996603</v>
      </c>
      <c r="P81" s="274">
        <v>2466.4320842275602</v>
      </c>
      <c r="Q81" s="338"/>
      <c r="R81" s="132" t="str">
        <f t="shared" si="14"/>
        <v>Dic - Feb 2023</v>
      </c>
      <c r="S81" s="274">
        <f t="shared" si="15"/>
        <v>9030.1615912109901</v>
      </c>
      <c r="T81" s="275">
        <v>46.607599153519601</v>
      </c>
      <c r="U81" s="275">
        <v>1237.3805695338301</v>
      </c>
      <c r="V81" s="275">
        <v>65.579330056472003</v>
      </c>
      <c r="W81" s="275">
        <v>842.43738580375998</v>
      </c>
      <c r="X81" s="275">
        <v>151.128739893644</v>
      </c>
      <c r="Y81" s="275">
        <v>123.298459786327</v>
      </c>
      <c r="Z81" s="283">
        <f t="shared" si="16"/>
        <v>0.16093836783041462</v>
      </c>
      <c r="AA81" s="145">
        <f t="shared" si="17"/>
        <v>0.6810626890584528</v>
      </c>
      <c r="AB81" s="145">
        <f t="shared" si="18"/>
        <v>0.15478366562342843</v>
      </c>
      <c r="AC81" s="145">
        <f t="shared" si="19"/>
        <v>0.12625116286579213</v>
      </c>
      <c r="AD81" s="145">
        <f t="shared" si="20"/>
        <v>0.56450006361256633</v>
      </c>
    </row>
    <row r="82" spans="2:30" x14ac:dyDescent="0.25">
      <c r="B82" s="132">
        <v>2023</v>
      </c>
      <c r="C82" s="273" t="s">
        <v>162</v>
      </c>
      <c r="D82" s="274" t="s">
        <v>192</v>
      </c>
      <c r="E82" s="274">
        <v>6534.0863899379601</v>
      </c>
      <c r="F82" s="275" t="s">
        <v>192</v>
      </c>
      <c r="G82" s="275">
        <v>243.35548773112299</v>
      </c>
      <c r="H82" s="275" t="s">
        <v>192</v>
      </c>
      <c r="I82" s="275">
        <v>573.22038816037298</v>
      </c>
      <c r="J82" s="275" t="s">
        <v>192</v>
      </c>
      <c r="K82" s="275">
        <v>4570.4242505369002</v>
      </c>
      <c r="L82" s="275" t="s">
        <v>192</v>
      </c>
      <c r="M82" s="275">
        <v>1053.2365633818199</v>
      </c>
      <c r="N82" s="275" t="s">
        <v>192</v>
      </c>
      <c r="O82" s="275">
        <v>93.849700127748406</v>
      </c>
      <c r="P82" s="274">
        <v>2472.0586181888698</v>
      </c>
      <c r="Q82" s="338"/>
      <c r="R82" s="132" t="str">
        <f t="shared" si="14"/>
        <v>Ene - Mar 2023</v>
      </c>
      <c r="S82" s="274">
        <f t="shared" si="15"/>
        <v>9006.1450081268304</v>
      </c>
      <c r="T82" s="275">
        <v>39.683729078310201</v>
      </c>
      <c r="U82" s="275">
        <v>1273.1810277136201</v>
      </c>
      <c r="V82" s="275">
        <v>58.810453002363403</v>
      </c>
      <c r="W82" s="275">
        <v>849.27808362596102</v>
      </c>
      <c r="X82" s="275">
        <v>140.51271539157599</v>
      </c>
      <c r="Y82" s="275">
        <v>110.59260937703699</v>
      </c>
      <c r="Z82" s="283">
        <f t="shared" si="16"/>
        <v>0.14020576203413102</v>
      </c>
      <c r="AA82" s="145">
        <f t="shared" si="17"/>
        <v>0.68954725487521384</v>
      </c>
      <c r="AB82" s="145">
        <f t="shared" si="18"/>
        <v>0.15670197941915981</v>
      </c>
      <c r="AC82" s="145">
        <f t="shared" si="19"/>
        <v>0.11770705783039799</v>
      </c>
      <c r="AD82" s="145">
        <f t="shared" si="20"/>
        <v>0.5409477600058531</v>
      </c>
    </row>
    <row r="83" spans="2:30" x14ac:dyDescent="0.25">
      <c r="B83" s="132">
        <v>2023</v>
      </c>
      <c r="C83" s="273" t="s">
        <v>173</v>
      </c>
      <c r="D83" s="274" t="s">
        <v>192</v>
      </c>
      <c r="E83" s="274">
        <v>6542.7480282000197</v>
      </c>
      <c r="F83" s="275" t="s">
        <v>192</v>
      </c>
      <c r="G83" s="275">
        <v>246.08212981422599</v>
      </c>
      <c r="H83" s="275" t="s">
        <v>192</v>
      </c>
      <c r="I83" s="275">
        <v>598.48858200540099</v>
      </c>
      <c r="J83" s="275" t="s">
        <v>192</v>
      </c>
      <c r="K83" s="275">
        <v>4551.6182169173298</v>
      </c>
      <c r="L83" s="275" t="s">
        <v>192</v>
      </c>
      <c r="M83" s="275">
        <v>1051.87219833786</v>
      </c>
      <c r="N83" s="275" t="s">
        <v>192</v>
      </c>
      <c r="O83" s="275">
        <v>94.686901125203207</v>
      </c>
      <c r="P83" s="274">
        <v>2463.98108596661</v>
      </c>
      <c r="Q83" s="338"/>
      <c r="R83" s="132" t="str">
        <f t="shared" si="14"/>
        <v>Feb - Abr 2023</v>
      </c>
      <c r="S83" s="274">
        <f t="shared" si="15"/>
        <v>9006.7291141666301</v>
      </c>
      <c r="T83" s="275">
        <v>36.3822360017245</v>
      </c>
      <c r="U83" s="275">
        <v>1282.9412819535801</v>
      </c>
      <c r="V83" s="275">
        <v>55.805113077636598</v>
      </c>
      <c r="W83" s="275">
        <v>837.90325707855902</v>
      </c>
      <c r="X83" s="275">
        <v>137.220178496101</v>
      </c>
      <c r="Y83" s="275">
        <v>113.729019359012</v>
      </c>
      <c r="Z83" s="283">
        <f t="shared" si="16"/>
        <v>0.12880292314617348</v>
      </c>
      <c r="AA83" s="145">
        <f t="shared" si="17"/>
        <v>0.68189694791702893</v>
      </c>
      <c r="AB83" s="145">
        <f t="shared" si="18"/>
        <v>0.15546895232190666</v>
      </c>
      <c r="AC83" s="145">
        <f t="shared" si="19"/>
        <v>0.11539909023843802</v>
      </c>
      <c r="AD83" s="145">
        <f t="shared" si="20"/>
        <v>0.54568297419306555</v>
      </c>
    </row>
    <row r="84" spans="2:30" x14ac:dyDescent="0.25">
      <c r="B84" s="132">
        <v>2023</v>
      </c>
      <c r="C84" s="273" t="s">
        <v>172</v>
      </c>
      <c r="D84" s="274" t="s">
        <v>192</v>
      </c>
      <c r="E84" s="274">
        <v>6560.2636063590999</v>
      </c>
      <c r="F84" s="275" t="s">
        <v>192</v>
      </c>
      <c r="G84" s="275">
        <v>249.411736422225</v>
      </c>
      <c r="H84" s="275" t="s">
        <v>192</v>
      </c>
      <c r="I84" s="275">
        <v>587.22021462574298</v>
      </c>
      <c r="J84" s="275" t="s">
        <v>192</v>
      </c>
      <c r="K84" s="275">
        <v>4592.4857541309102</v>
      </c>
      <c r="L84" s="275" t="s">
        <v>192</v>
      </c>
      <c r="M84" s="275">
        <v>1032.25374090376</v>
      </c>
      <c r="N84" s="275" t="s">
        <v>192</v>
      </c>
      <c r="O84" s="275">
        <v>98.8921602764634</v>
      </c>
      <c r="P84" s="274">
        <v>2473.9671864820998</v>
      </c>
      <c r="Q84" s="338"/>
      <c r="R84" s="132" t="str">
        <f t="shared" si="14"/>
        <v>Mar - May 2023</v>
      </c>
      <c r="S84" s="274">
        <f t="shared" si="15"/>
        <v>9034.2307928411992</v>
      </c>
      <c r="T84" s="275">
        <v>42.230685816543001</v>
      </c>
      <c r="U84" s="275">
        <v>1290.6702796827401</v>
      </c>
      <c r="V84" s="275">
        <v>55.507279017081402</v>
      </c>
      <c r="W84" s="275">
        <v>833.54545459415704</v>
      </c>
      <c r="X84" s="275">
        <v>133.09103117706101</v>
      </c>
      <c r="Y84" s="275">
        <v>118.92245619451801</v>
      </c>
      <c r="Z84" s="283">
        <f t="shared" si="16"/>
        <v>0.14480295936497431</v>
      </c>
      <c r="AA84" s="145">
        <f t="shared" si="17"/>
        <v>0.68729794607007599</v>
      </c>
      <c r="AB84" s="145">
        <f t="shared" si="18"/>
        <v>0.15361973098382009</v>
      </c>
      <c r="AC84" s="145">
        <f t="shared" si="19"/>
        <v>0.11420742973722342</v>
      </c>
      <c r="AD84" s="145">
        <f t="shared" si="20"/>
        <v>0.54598014642585557</v>
      </c>
    </row>
    <row r="85" spans="2:30" x14ac:dyDescent="0.25">
      <c r="B85" s="132">
        <v>2023</v>
      </c>
      <c r="C85" s="273" t="s">
        <v>171</v>
      </c>
      <c r="D85" s="274" t="s">
        <v>192</v>
      </c>
      <c r="E85" s="274">
        <v>6579.7971985540398</v>
      </c>
      <c r="F85" s="275" t="s">
        <v>192</v>
      </c>
      <c r="G85" s="275">
        <v>253.179160316836</v>
      </c>
      <c r="H85" s="275" t="s">
        <v>192</v>
      </c>
      <c r="I85" s="275">
        <v>611.29199290183897</v>
      </c>
      <c r="J85" s="275" t="s">
        <v>192</v>
      </c>
      <c r="K85" s="275">
        <v>4592.7793710813303</v>
      </c>
      <c r="L85" s="275" t="s">
        <v>192</v>
      </c>
      <c r="M85" s="275">
        <v>1029.13331220649</v>
      </c>
      <c r="N85" s="275" t="s">
        <v>192</v>
      </c>
      <c r="O85" s="275">
        <v>93.413362047538001</v>
      </c>
      <c r="P85" s="274">
        <v>2455.3167849632</v>
      </c>
      <c r="Q85" s="338"/>
      <c r="R85" s="132" t="str">
        <f t="shared" si="14"/>
        <v>Abr - Jun 2023</v>
      </c>
      <c r="S85" s="274">
        <f t="shared" si="15"/>
        <v>9035.1139835172398</v>
      </c>
      <c r="T85" s="275">
        <v>44.532359441060798</v>
      </c>
      <c r="U85" s="275">
        <v>1254.5668355796799</v>
      </c>
      <c r="V85" s="275">
        <v>54.790203730685</v>
      </c>
      <c r="W85" s="275">
        <v>835.51386116516005</v>
      </c>
      <c r="X85" s="275">
        <v>139.06743976962099</v>
      </c>
      <c r="Y85" s="275">
        <v>126.84608527698801</v>
      </c>
      <c r="Z85" s="283">
        <f t="shared" si="16"/>
        <v>0.14958225156109223</v>
      </c>
      <c r="AA85" s="145">
        <f t="shared" si="17"/>
        <v>0.67238036255973166</v>
      </c>
      <c r="AB85" s="145">
        <f t="shared" si="18"/>
        <v>0.15391833591483856</v>
      </c>
      <c r="AC85" s="145">
        <f t="shared" si="19"/>
        <v>0.11904412793295722</v>
      </c>
      <c r="AD85" s="145">
        <f t="shared" si="20"/>
        <v>0.57589395968153612</v>
      </c>
    </row>
    <row r="86" spans="2:30" x14ac:dyDescent="0.25">
      <c r="B86" s="132">
        <v>2023</v>
      </c>
      <c r="C86" s="273" t="s">
        <v>170</v>
      </c>
      <c r="D86" s="274" t="s">
        <v>192</v>
      </c>
      <c r="E86" s="274">
        <v>6602.861829998973</v>
      </c>
      <c r="F86" s="275" t="s">
        <v>192</v>
      </c>
      <c r="G86" s="275">
        <v>250.32535737712308</v>
      </c>
      <c r="H86" s="275" t="s">
        <v>192</v>
      </c>
      <c r="I86" s="275">
        <v>611.64104087265571</v>
      </c>
      <c r="J86" s="275" t="s">
        <v>192</v>
      </c>
      <c r="K86" s="275">
        <v>4614.2104269634629</v>
      </c>
      <c r="L86" s="275" t="s">
        <v>192</v>
      </c>
      <c r="M86" s="275">
        <v>1036.6835082890184</v>
      </c>
      <c r="N86" s="275" t="s">
        <v>192</v>
      </c>
      <c r="O86" s="275">
        <v>90.00149649671279</v>
      </c>
      <c r="P86" s="274">
        <v>2425.7854301119119</v>
      </c>
      <c r="Q86" s="338"/>
      <c r="R86" s="132" t="str">
        <f t="shared" si="14"/>
        <v>May - Jul 2023</v>
      </c>
      <c r="S86" s="274">
        <f t="shared" si="15"/>
        <v>9028.6472601108853</v>
      </c>
      <c r="T86" s="275">
        <v>39.843217536010279</v>
      </c>
      <c r="U86" s="275">
        <v>1249.9128509286193</v>
      </c>
      <c r="V86" s="275">
        <v>56.254677181057488</v>
      </c>
      <c r="W86" s="275">
        <v>812.67050029952793</v>
      </c>
      <c r="X86" s="275">
        <v>139.7615537296343</v>
      </c>
      <c r="Y86" s="275">
        <v>127.34263043706297</v>
      </c>
      <c r="Z86" s="283">
        <f t="shared" si="16"/>
        <v>0.1373105876400916</v>
      </c>
      <c r="AA86" s="145">
        <f t="shared" si="17"/>
        <v>0.67143522217300944</v>
      </c>
      <c r="AB86" s="145">
        <f t="shared" si="18"/>
        <v>0.14974909366758349</v>
      </c>
      <c r="AC86" s="145">
        <f t="shared" si="19"/>
        <v>0.11879989830533912</v>
      </c>
      <c r="AD86" s="145">
        <f t="shared" si="20"/>
        <v>0.58590325045159364</v>
      </c>
    </row>
    <row r="87" spans="2:30" x14ac:dyDescent="0.25">
      <c r="B87" s="132">
        <v>2023</v>
      </c>
      <c r="C87" s="273" t="s">
        <v>169</v>
      </c>
      <c r="D87" s="274" t="s">
        <v>192</v>
      </c>
      <c r="E87" s="274">
        <v>6599.2257273640826</v>
      </c>
      <c r="F87" s="275" t="s">
        <v>192</v>
      </c>
      <c r="G87" s="275">
        <v>247.64664140919805</v>
      </c>
      <c r="H87" s="275" t="s">
        <v>192</v>
      </c>
      <c r="I87" s="275">
        <v>631.56869882476099</v>
      </c>
      <c r="J87" s="275" t="s">
        <v>192</v>
      </c>
      <c r="K87" s="275">
        <v>4599.1500036685038</v>
      </c>
      <c r="L87" s="275" t="s">
        <v>192</v>
      </c>
      <c r="M87" s="275">
        <v>1027.4121750812585</v>
      </c>
      <c r="N87" s="275" t="s">
        <v>192</v>
      </c>
      <c r="O87" s="275">
        <v>93.448208380362132</v>
      </c>
      <c r="P87" s="274">
        <v>2406.2171013778593</v>
      </c>
      <c r="Q87" s="338"/>
      <c r="R87" s="132" t="str">
        <f t="shared" si="14"/>
        <v>Jun - Ago 2023</v>
      </c>
      <c r="S87" s="274">
        <f t="shared" si="15"/>
        <v>9005.4428287419414</v>
      </c>
      <c r="T87" s="275">
        <v>34.249710302296805</v>
      </c>
      <c r="U87" s="275">
        <v>1238.477959836358</v>
      </c>
      <c r="V87" s="275">
        <v>58.408807984335155</v>
      </c>
      <c r="W87" s="275">
        <v>812.20004567047454</v>
      </c>
      <c r="X87" s="275">
        <v>144.8336568354197</v>
      </c>
      <c r="Y87" s="275">
        <v>118.04692074897477</v>
      </c>
      <c r="Z87" s="283">
        <f t="shared" si="16"/>
        <v>0.12149752947973398</v>
      </c>
      <c r="AA87" s="145">
        <f t="shared" si="17"/>
        <v>0.66227115462619546</v>
      </c>
      <c r="AB87" s="145">
        <f t="shared" si="18"/>
        <v>0.15009194346421714</v>
      </c>
      <c r="AC87" s="145">
        <f t="shared" si="19"/>
        <v>0.12355228987985371</v>
      </c>
      <c r="AD87" s="145">
        <f t="shared" si="20"/>
        <v>0.55815432362409079</v>
      </c>
    </row>
    <row r="88" spans="2:30" x14ac:dyDescent="0.25">
      <c r="B88" s="132">
        <v>2023</v>
      </c>
      <c r="C88" s="273" t="s">
        <v>168</v>
      </c>
      <c r="D88" s="274" t="s">
        <v>192</v>
      </c>
      <c r="E88" s="274">
        <v>6616.3400227603697</v>
      </c>
      <c r="F88" s="275" t="s">
        <v>192</v>
      </c>
      <c r="G88" s="275">
        <v>254.17444031639556</v>
      </c>
      <c r="H88" s="275" t="s">
        <v>192</v>
      </c>
      <c r="I88" s="275">
        <v>619.67003397715769</v>
      </c>
      <c r="J88" s="275" t="s">
        <v>192</v>
      </c>
      <c r="K88" s="275">
        <v>4604.066566504398</v>
      </c>
      <c r="L88" s="275" t="s">
        <v>192</v>
      </c>
      <c r="M88" s="275">
        <v>1037.6596649706762</v>
      </c>
      <c r="N88" s="275" t="s">
        <v>192</v>
      </c>
      <c r="O88" s="275">
        <v>100.76931699174237</v>
      </c>
      <c r="P88" s="274">
        <v>2407.1121654367057</v>
      </c>
      <c r="Q88" s="338"/>
      <c r="R88" s="132" t="str">
        <f t="shared" si="14"/>
        <v>Jul - Sep 2023</v>
      </c>
      <c r="S88" s="274">
        <f t="shared" si="15"/>
        <v>9023.4521881970759</v>
      </c>
      <c r="T88" s="275">
        <v>33.275771471477654</v>
      </c>
      <c r="U88" s="275">
        <v>1256.8397913190886</v>
      </c>
      <c r="V88" s="275">
        <v>58.701826948463221</v>
      </c>
      <c r="W88" s="275">
        <v>801.64594536989978</v>
      </c>
      <c r="X88" s="275">
        <v>141.95678919298152</v>
      </c>
      <c r="Y88" s="275">
        <v>114.69204113479464</v>
      </c>
      <c r="Z88" s="283">
        <f t="shared" si="16"/>
        <v>0.11576186103502976</v>
      </c>
      <c r="AA88" s="145">
        <f t="shared" si="17"/>
        <v>0.66977522546180657</v>
      </c>
      <c r="AB88" s="145">
        <f t="shared" si="18"/>
        <v>0.14829607449693041</v>
      </c>
      <c r="AC88" s="145">
        <f t="shared" si="19"/>
        <v>0.12034147937825113</v>
      </c>
      <c r="AD88" s="145">
        <f t="shared" si="20"/>
        <v>0.53230909770576051</v>
      </c>
    </row>
    <row r="89" spans="2:30" x14ac:dyDescent="0.25">
      <c r="B89" s="132">
        <v>2023</v>
      </c>
      <c r="C89" s="273" t="s">
        <v>167</v>
      </c>
      <c r="D89" s="274" t="s">
        <v>192</v>
      </c>
      <c r="E89" s="274">
        <v>6605.0408004023448</v>
      </c>
      <c r="F89" s="275" t="s">
        <v>192</v>
      </c>
      <c r="G89" s="275">
        <v>252.81631464818767</v>
      </c>
      <c r="H89" s="275" t="s">
        <v>192</v>
      </c>
      <c r="I89" s="275">
        <v>617.80735695792862</v>
      </c>
      <c r="J89" s="275" t="s">
        <v>192</v>
      </c>
      <c r="K89" s="275">
        <v>4589.4103659358234</v>
      </c>
      <c r="L89" s="275" t="s">
        <v>192</v>
      </c>
      <c r="M89" s="275">
        <v>1045.026305453438</v>
      </c>
      <c r="N89" s="275" t="s">
        <v>192</v>
      </c>
      <c r="O89" s="275">
        <v>99.980457406968497</v>
      </c>
      <c r="P89" s="274">
        <v>2447.9479417388279</v>
      </c>
      <c r="Q89" s="338"/>
      <c r="R89" s="132" t="str">
        <f t="shared" si="14"/>
        <v>Ago - Oct 2023</v>
      </c>
      <c r="S89" s="274">
        <f t="shared" si="15"/>
        <v>9052.9887421411731</v>
      </c>
      <c r="T89" s="275">
        <v>38.344430425448664</v>
      </c>
      <c r="U89" s="275">
        <v>1272.341473512532</v>
      </c>
      <c r="V89" s="275">
        <v>61.146346528711156</v>
      </c>
      <c r="W89" s="275">
        <v>811.42385918341438</v>
      </c>
      <c r="X89" s="275">
        <v>149.8543593419443</v>
      </c>
      <c r="Y89" s="275">
        <v>114.83747274677744</v>
      </c>
      <c r="Z89" s="283">
        <f t="shared" si="16"/>
        <v>0.13169505530613723</v>
      </c>
      <c r="AA89" s="145">
        <f t="shared" si="17"/>
        <v>0.67314353928195403</v>
      </c>
      <c r="AB89" s="145">
        <f t="shared" si="18"/>
        <v>0.15024046755767625</v>
      </c>
      <c r="AC89" s="145">
        <f t="shared" si="19"/>
        <v>0.12541366159574283</v>
      </c>
      <c r="AD89" s="145">
        <f t="shared" si="20"/>
        <v>0.53458048247922263</v>
      </c>
    </row>
    <row r="90" spans="2:30" x14ac:dyDescent="0.25">
      <c r="B90" s="132">
        <v>2023</v>
      </c>
      <c r="C90" s="273" t="s">
        <v>166</v>
      </c>
      <c r="D90" s="274" t="s">
        <v>192</v>
      </c>
      <c r="E90" s="274">
        <v>6628.6393536485411</v>
      </c>
      <c r="F90" s="275" t="s">
        <v>192</v>
      </c>
      <c r="G90" s="275">
        <v>241.53520654362191</v>
      </c>
      <c r="H90" s="275" t="s">
        <v>192</v>
      </c>
      <c r="I90" s="275">
        <v>604.50538444032088</v>
      </c>
      <c r="J90" s="275" t="s">
        <v>192</v>
      </c>
      <c r="K90" s="275">
        <v>4626.1047587370613</v>
      </c>
      <c r="L90" s="275" t="s">
        <v>192</v>
      </c>
      <c r="M90" s="275">
        <v>1058.3513709755514</v>
      </c>
      <c r="N90" s="275" t="s">
        <v>192</v>
      </c>
      <c r="O90" s="275">
        <v>98.142632951985448</v>
      </c>
      <c r="P90" s="274">
        <v>2509.7773676556862</v>
      </c>
      <c r="Q90" s="338"/>
      <c r="R90" s="132" t="str">
        <f t="shared" si="14"/>
        <v>Sep - Nov 2023</v>
      </c>
      <c r="S90" s="274">
        <f t="shared" si="15"/>
        <v>9138.4167213042274</v>
      </c>
      <c r="T90" s="275">
        <v>40.379474503518402</v>
      </c>
      <c r="U90" s="275">
        <v>1314.6147499392821</v>
      </c>
      <c r="V90" s="275">
        <v>60.529247391163992</v>
      </c>
      <c r="W90" s="275">
        <v>831.28364681353185</v>
      </c>
      <c r="X90" s="275">
        <v>138.16181304821848</v>
      </c>
      <c r="Y90" s="275">
        <v>124.80843595997105</v>
      </c>
      <c r="Z90" s="283">
        <f t="shared" si="16"/>
        <v>0.14323296095660357</v>
      </c>
      <c r="AA90" s="145">
        <f t="shared" si="17"/>
        <v>0.68500909681939204</v>
      </c>
      <c r="AB90" s="145">
        <f t="shared" si="18"/>
        <v>0.15232261020088858</v>
      </c>
      <c r="AC90" s="145">
        <f t="shared" si="19"/>
        <v>0.11547036413221316</v>
      </c>
      <c r="AD90" s="145">
        <f t="shared" si="20"/>
        <v>0.55980191783362998</v>
      </c>
    </row>
    <row r="91" spans="2:30" x14ac:dyDescent="0.25">
      <c r="B91" s="132">
        <v>2023</v>
      </c>
      <c r="C91" s="273" t="s">
        <v>165</v>
      </c>
      <c r="D91" s="274" t="s">
        <v>192</v>
      </c>
      <c r="E91" s="274">
        <v>6683.8569649395668</v>
      </c>
      <c r="F91" s="275" t="s">
        <v>192</v>
      </c>
      <c r="G91" s="275">
        <v>231.95464207559633</v>
      </c>
      <c r="H91" s="275" t="s">
        <v>192</v>
      </c>
      <c r="I91" s="275">
        <v>613.47742093387603</v>
      </c>
      <c r="J91" s="275" t="s">
        <v>192</v>
      </c>
      <c r="K91" s="275">
        <v>4684.9950731309609</v>
      </c>
      <c r="L91" s="275" t="s">
        <v>192</v>
      </c>
      <c r="M91" s="275">
        <v>1057.9728120604213</v>
      </c>
      <c r="N91" s="275" t="s">
        <v>192</v>
      </c>
      <c r="O91" s="275">
        <v>95.457016738711431</v>
      </c>
      <c r="P91" s="274">
        <v>2539.277939221924</v>
      </c>
      <c r="Q91" s="338"/>
      <c r="R91" s="132" t="str">
        <f t="shared" si="14"/>
        <v>Oct - Dic 2023</v>
      </c>
      <c r="S91" s="274">
        <f t="shared" si="15"/>
        <v>9223.1349041614903</v>
      </c>
      <c r="T91" s="275">
        <v>45.872334301481345</v>
      </c>
      <c r="U91" s="275">
        <v>1304.6765090588563</v>
      </c>
      <c r="V91" s="275">
        <v>64.97882270905437</v>
      </c>
      <c r="W91" s="275">
        <v>853.89350308509188</v>
      </c>
      <c r="X91" s="275">
        <v>138.34705098936493</v>
      </c>
      <c r="Y91" s="275">
        <v>131.50971907807539</v>
      </c>
      <c r="Z91" s="283">
        <f t="shared" si="16"/>
        <v>0.16511115982928026</v>
      </c>
      <c r="AA91" s="145">
        <f t="shared" si="17"/>
        <v>0.68017299793233987</v>
      </c>
      <c r="AB91" s="145">
        <f t="shared" si="18"/>
        <v>0.15416332921945827</v>
      </c>
      <c r="AC91" s="145">
        <f t="shared" si="19"/>
        <v>0.11564386353719469</v>
      </c>
      <c r="AD91" s="145">
        <f t="shared" si="20"/>
        <v>0.57942287712254581</v>
      </c>
    </row>
    <row r="92" spans="2:30" x14ac:dyDescent="0.25">
      <c r="B92" s="132">
        <v>2023</v>
      </c>
      <c r="C92" s="273" t="s">
        <v>164</v>
      </c>
      <c r="D92" s="274" t="s">
        <v>192</v>
      </c>
      <c r="E92" s="274">
        <v>6718.5143374877089</v>
      </c>
      <c r="F92" s="275" t="s">
        <v>192</v>
      </c>
      <c r="G92" s="275">
        <v>233.58737519624898</v>
      </c>
      <c r="H92" s="275" t="s">
        <v>192</v>
      </c>
      <c r="I92" s="275">
        <v>603.11568991184856</v>
      </c>
      <c r="J92" s="275" t="s">
        <v>192</v>
      </c>
      <c r="K92" s="275">
        <v>4734.1973073411973</v>
      </c>
      <c r="L92" s="275" t="s">
        <v>192</v>
      </c>
      <c r="M92" s="275">
        <v>1054.3385340448347</v>
      </c>
      <c r="N92" s="275" t="s">
        <v>192</v>
      </c>
      <c r="O92" s="275">
        <v>93.275430993579477</v>
      </c>
      <c r="P92" s="274">
        <v>2554.9120597958276</v>
      </c>
      <c r="Q92" s="338"/>
      <c r="R92" s="132" t="str">
        <f t="shared" si="14"/>
        <v>Nov - Ene 2023</v>
      </c>
      <c r="S92" s="274">
        <f t="shared" si="15"/>
        <v>9273.4263972835361</v>
      </c>
      <c r="T92" s="275">
        <v>44.556568260893499</v>
      </c>
      <c r="U92" s="275">
        <v>1286.4353849305376</v>
      </c>
      <c r="V92" s="275">
        <v>65.972583543281019</v>
      </c>
      <c r="W92" s="275">
        <v>897.87184016595495</v>
      </c>
      <c r="X92" s="275">
        <v>128.33368375376432</v>
      </c>
      <c r="Y92" s="275">
        <v>131.74199914139615</v>
      </c>
      <c r="Z92" s="283">
        <f t="shared" si="16"/>
        <v>0.16019248058068519</v>
      </c>
      <c r="AA92" s="145">
        <f t="shared" si="17"/>
        <v>0.68081535453485609</v>
      </c>
      <c r="AB92" s="145">
        <f t="shared" si="18"/>
        <v>0.15942130976203797</v>
      </c>
      <c r="AC92" s="145">
        <f t="shared" si="19"/>
        <v>0.10851162462634147</v>
      </c>
      <c r="AD92" s="145">
        <f t="shared" si="20"/>
        <v>0.58547464106390046</v>
      </c>
    </row>
    <row r="93" spans="2:30" x14ac:dyDescent="0.25">
      <c r="B93" s="132">
        <v>2024</v>
      </c>
      <c r="C93" s="273" t="s">
        <v>163</v>
      </c>
      <c r="D93" s="274" t="s">
        <v>192</v>
      </c>
      <c r="E93" s="274">
        <v>6760.7490205109343</v>
      </c>
      <c r="F93" s="275" t="s">
        <v>192</v>
      </c>
      <c r="G93" s="275">
        <v>248.14376744109489</v>
      </c>
      <c r="H93" s="275" t="s">
        <v>192</v>
      </c>
      <c r="I93" s="275">
        <v>608.93926919342596</v>
      </c>
      <c r="J93" s="275" t="s">
        <v>192</v>
      </c>
      <c r="K93" s="275">
        <v>4747.0738608138927</v>
      </c>
      <c r="L93" s="275" t="s">
        <v>192</v>
      </c>
      <c r="M93" s="275">
        <v>1067.0609842138583</v>
      </c>
      <c r="N93" s="275" t="s">
        <v>192</v>
      </c>
      <c r="O93" s="275">
        <v>89.531138848661755</v>
      </c>
      <c r="P93" s="274">
        <v>2548.8590738379344</v>
      </c>
      <c r="Q93" s="338"/>
      <c r="R93" s="132" t="str">
        <f t="shared" si="14"/>
        <v>Dic - Feb 2024</v>
      </c>
      <c r="S93" s="274">
        <f t="shared" si="15"/>
        <v>9309.6080943488687</v>
      </c>
      <c r="T93" s="275">
        <v>46.780402521231942</v>
      </c>
      <c r="U93" s="275">
        <v>1262.236452246651</v>
      </c>
      <c r="V93" s="275">
        <v>64.270361261682737</v>
      </c>
      <c r="W93" s="275">
        <v>918.85867114144844</v>
      </c>
      <c r="X93" s="275">
        <v>127.81023265555575</v>
      </c>
      <c r="Y93" s="275">
        <v>128.90295401136456</v>
      </c>
      <c r="Z93" s="283">
        <f t="shared" si="16"/>
        <v>0.15861840868182353</v>
      </c>
      <c r="AA93" s="145">
        <f t="shared" si="17"/>
        <v>0.67456863499448372</v>
      </c>
      <c r="AB93" s="145">
        <f t="shared" si="18"/>
        <v>0.16217254017042554</v>
      </c>
      <c r="AC93" s="145">
        <f t="shared" si="19"/>
        <v>0.10696569709865557</v>
      </c>
      <c r="AD93" s="145">
        <f t="shared" si="20"/>
        <v>0.59012287103902883</v>
      </c>
    </row>
    <row r="94" spans="2:30" x14ac:dyDescent="0.25">
      <c r="B94" s="132">
        <v>2024</v>
      </c>
      <c r="C94" s="273" t="s">
        <v>162</v>
      </c>
      <c r="D94" s="274" t="s">
        <v>192</v>
      </c>
      <c r="E94" s="274">
        <v>6694.0434361847947</v>
      </c>
      <c r="F94" s="275" t="s">
        <v>192</v>
      </c>
      <c r="G94" s="275">
        <v>229.95110198614321</v>
      </c>
      <c r="H94" s="275" t="s">
        <v>192</v>
      </c>
      <c r="I94" s="275">
        <v>556.17742334961963</v>
      </c>
      <c r="J94" s="275" t="s">
        <v>192</v>
      </c>
      <c r="K94" s="275">
        <v>4743.1095481467701</v>
      </c>
      <c r="L94" s="275" t="s">
        <v>192</v>
      </c>
      <c r="M94" s="275">
        <v>1072.790276513434</v>
      </c>
      <c r="N94" s="275" t="s">
        <v>192</v>
      </c>
      <c r="O94" s="275">
        <v>92.015086188827752</v>
      </c>
      <c r="P94" s="274">
        <v>2614.6412648517235</v>
      </c>
      <c r="Q94" s="338"/>
      <c r="R94" s="132" t="str">
        <f t="shared" si="14"/>
        <v>Ene - Mar 2024</v>
      </c>
      <c r="S94" s="274">
        <f t="shared" si="15"/>
        <v>9308.6847010365182</v>
      </c>
      <c r="T94" s="275">
        <v>58.007474118352491</v>
      </c>
      <c r="U94" s="275">
        <v>1310.5399589963174</v>
      </c>
      <c r="V94" s="275">
        <v>61.917519292350093</v>
      </c>
      <c r="W94" s="275">
        <v>917.53429386242271</v>
      </c>
      <c r="X94" s="275">
        <v>134.91478907347957</v>
      </c>
      <c r="Y94" s="275">
        <v>131.72722950880086</v>
      </c>
      <c r="Z94" s="283">
        <f t="shared" si="16"/>
        <v>0.2014438149510174</v>
      </c>
      <c r="AA94" s="145">
        <f t="shared" si="17"/>
        <v>0.70205590379693061</v>
      </c>
      <c r="AB94" s="145">
        <f t="shared" si="18"/>
        <v>0.16209009424919985</v>
      </c>
      <c r="AC94" s="145">
        <f t="shared" si="19"/>
        <v>0.1117117025653233</v>
      </c>
      <c r="AD94" s="145">
        <f t="shared" si="20"/>
        <v>0.58874526751041845</v>
      </c>
    </row>
    <row r="95" spans="2:30" s="139" customFormat="1" x14ac:dyDescent="0.25">
      <c r="B95" s="284"/>
      <c r="C95" s="284"/>
      <c r="D95" s="285"/>
      <c r="E95" s="285"/>
      <c r="F95" s="285"/>
      <c r="G95" s="285"/>
      <c r="H95" s="285"/>
      <c r="I95" s="285"/>
      <c r="J95" s="285"/>
      <c r="K95" s="285"/>
      <c r="L95" s="285"/>
      <c r="M95" s="285"/>
      <c r="N95" s="285"/>
      <c r="O95" s="285"/>
      <c r="P95" s="285"/>
      <c r="Q95" s="338"/>
      <c r="S95" s="285"/>
      <c r="T95" s="285"/>
      <c r="U95" s="285"/>
      <c r="V95" s="285"/>
      <c r="W95" s="285"/>
      <c r="X95" s="285"/>
      <c r="Y95" s="285"/>
    </row>
    <row r="96" spans="2:30" s="137" customFormat="1" x14ac:dyDescent="0.25">
      <c r="B96" s="269" t="s">
        <v>161</v>
      </c>
      <c r="C96" s="267"/>
      <c r="D96" s="268"/>
      <c r="E96" s="277"/>
      <c r="F96" s="277"/>
      <c r="G96" s="268"/>
      <c r="H96" s="268"/>
      <c r="I96" s="268"/>
      <c r="J96" s="268"/>
      <c r="K96" s="268"/>
      <c r="L96" s="268"/>
      <c r="M96" s="268"/>
      <c r="N96" s="268"/>
      <c r="O96" s="268"/>
      <c r="P96" s="277"/>
      <c r="Q96" s="339"/>
      <c r="R96" s="267"/>
      <c r="S96" s="277"/>
      <c r="T96" s="268"/>
      <c r="U96" s="268"/>
      <c r="V96" s="268"/>
      <c r="W96" s="268"/>
      <c r="X96" s="268"/>
      <c r="Y96" s="277"/>
    </row>
    <row r="97" spans="2:25" x14ac:dyDescent="0.25">
      <c r="B97" s="131"/>
      <c r="C97" s="134"/>
      <c r="D97" s="131"/>
      <c r="E97" s="131"/>
      <c r="F97" s="131"/>
      <c r="G97" s="131"/>
      <c r="H97" s="131"/>
      <c r="I97" s="131"/>
      <c r="J97" s="131"/>
      <c r="K97" s="131"/>
      <c r="L97" s="131"/>
      <c r="M97" s="131"/>
      <c r="N97" s="131"/>
      <c r="O97" s="131"/>
      <c r="P97" s="131"/>
      <c r="Q97" s="340"/>
      <c r="R97" s="134"/>
      <c r="S97" s="131"/>
      <c r="T97" s="131"/>
      <c r="U97" s="131"/>
      <c r="V97" s="131"/>
      <c r="W97" s="131"/>
      <c r="X97" s="131"/>
      <c r="Y97" s="131"/>
    </row>
    <row r="98" spans="2:25" x14ac:dyDescent="0.25">
      <c r="B98" s="270" t="s">
        <v>182</v>
      </c>
      <c r="C98" s="134"/>
      <c r="D98" s="131"/>
      <c r="E98" s="131"/>
      <c r="F98" s="131"/>
      <c r="G98" s="131"/>
      <c r="H98" s="131"/>
      <c r="I98" s="131"/>
      <c r="J98" s="131"/>
      <c r="K98" s="131"/>
      <c r="L98" s="131"/>
      <c r="M98" s="131"/>
      <c r="N98" s="131"/>
      <c r="O98" s="131"/>
      <c r="P98" s="131"/>
      <c r="Q98" s="340"/>
      <c r="R98" s="134"/>
      <c r="S98" s="131"/>
      <c r="T98" s="131"/>
      <c r="U98" s="131"/>
      <c r="V98" s="131"/>
      <c r="W98" s="131"/>
      <c r="X98" s="131"/>
      <c r="Y98" s="131"/>
    </row>
    <row r="99" spans="2:25" x14ac:dyDescent="0.25">
      <c r="B99" s="270" t="s">
        <v>181</v>
      </c>
      <c r="C99" s="134"/>
      <c r="D99" s="131"/>
      <c r="E99" s="131"/>
      <c r="F99" s="131"/>
      <c r="G99" s="131"/>
      <c r="H99" s="131"/>
      <c r="I99" s="131"/>
      <c r="J99" s="131"/>
      <c r="K99" s="131"/>
      <c r="L99" s="131"/>
      <c r="M99" s="131"/>
      <c r="N99" s="131"/>
      <c r="O99" s="131"/>
      <c r="P99" s="131"/>
      <c r="Q99" s="340"/>
      <c r="R99" s="134"/>
      <c r="S99" s="131"/>
      <c r="T99" s="131"/>
      <c r="U99" s="131"/>
      <c r="V99" s="131"/>
      <c r="W99" s="131"/>
      <c r="X99" s="131"/>
      <c r="Y99" s="131"/>
    </row>
    <row r="100" spans="2:25" x14ac:dyDescent="0.25">
      <c r="B100" s="270" t="s">
        <v>180</v>
      </c>
      <c r="C100" s="134"/>
      <c r="D100" s="131"/>
      <c r="E100" s="131"/>
      <c r="F100" s="131"/>
      <c r="G100" s="131"/>
      <c r="H100" s="131"/>
      <c r="I100" s="131"/>
      <c r="J100" s="131"/>
      <c r="K100" s="131"/>
      <c r="L100" s="131"/>
      <c r="M100" s="131"/>
      <c r="N100" s="131"/>
      <c r="O100" s="131"/>
      <c r="P100" s="131"/>
      <c r="Q100" s="340"/>
      <c r="R100" s="134"/>
      <c r="S100" s="131"/>
      <c r="T100" s="131"/>
      <c r="U100" s="131"/>
      <c r="V100" s="131"/>
      <c r="W100" s="131"/>
      <c r="X100" s="131"/>
      <c r="Y100" s="131"/>
    </row>
    <row r="101" spans="2:25" x14ac:dyDescent="0.25">
      <c r="B101" s="131"/>
      <c r="C101" s="134"/>
      <c r="D101" s="131"/>
      <c r="E101" s="131"/>
      <c r="F101" s="131"/>
      <c r="G101" s="131"/>
      <c r="H101" s="131"/>
      <c r="I101" s="131"/>
      <c r="J101" s="131"/>
      <c r="K101" s="131"/>
      <c r="L101" s="131"/>
      <c r="M101" s="131"/>
      <c r="N101" s="131"/>
      <c r="O101" s="131"/>
      <c r="P101" s="131"/>
      <c r="Q101" s="340"/>
      <c r="R101" s="134"/>
      <c r="S101" s="131"/>
      <c r="T101" s="131"/>
      <c r="U101" s="131"/>
      <c r="V101" s="131"/>
      <c r="W101" s="131"/>
      <c r="X101" s="131"/>
      <c r="Y101" s="131"/>
    </row>
    <row r="102" spans="2:25" x14ac:dyDescent="0.25">
      <c r="B102" s="270" t="s">
        <v>160</v>
      </c>
      <c r="C102" s="134"/>
      <c r="D102" s="131"/>
      <c r="E102" s="131"/>
      <c r="F102" s="131"/>
      <c r="G102" s="131"/>
      <c r="H102" s="131"/>
      <c r="I102" s="131"/>
      <c r="J102" s="131"/>
      <c r="K102" s="131"/>
      <c r="L102" s="131"/>
      <c r="M102" s="131"/>
      <c r="N102" s="131"/>
      <c r="O102" s="131"/>
      <c r="P102" s="131"/>
      <c r="Q102" s="340"/>
      <c r="R102" s="134"/>
      <c r="S102" s="131"/>
      <c r="T102" s="131"/>
      <c r="U102" s="131"/>
      <c r="V102" s="131"/>
      <c r="W102" s="131"/>
      <c r="X102" s="131"/>
      <c r="Y102" s="131"/>
    </row>
    <row r="103" spans="2:25" x14ac:dyDescent="0.25">
      <c r="B103" s="270" t="s">
        <v>159</v>
      </c>
      <c r="C103" s="134"/>
      <c r="D103" s="131"/>
      <c r="E103" s="131"/>
      <c r="F103" s="131"/>
      <c r="G103" s="131"/>
      <c r="H103" s="131"/>
      <c r="I103" s="131"/>
      <c r="J103" s="131"/>
      <c r="K103" s="131"/>
      <c r="L103" s="131"/>
      <c r="M103" s="131"/>
      <c r="N103" s="131"/>
      <c r="O103" s="131"/>
      <c r="P103" s="131"/>
      <c r="Q103" s="340"/>
      <c r="R103" s="134"/>
      <c r="S103" s="131"/>
      <c r="T103" s="131"/>
      <c r="U103" s="131"/>
      <c r="V103" s="131"/>
      <c r="W103" s="131"/>
      <c r="X103" s="131"/>
      <c r="Y103" s="131"/>
    </row>
    <row r="104" spans="2:25" ht="15" customHeight="1" x14ac:dyDescent="0.25">
      <c r="B104" s="131"/>
      <c r="C104" s="134"/>
      <c r="D104" s="131"/>
      <c r="E104" s="131"/>
      <c r="F104" s="131"/>
      <c r="G104" s="131"/>
      <c r="H104" s="131"/>
      <c r="I104" s="131"/>
      <c r="J104" s="131"/>
      <c r="K104" s="131"/>
      <c r="L104" s="131"/>
      <c r="M104" s="131"/>
      <c r="N104" s="131"/>
      <c r="O104" s="131"/>
      <c r="P104" s="131"/>
      <c r="Q104" s="340"/>
      <c r="R104" s="134"/>
      <c r="S104" s="131"/>
      <c r="T104" s="131"/>
      <c r="U104" s="131"/>
      <c r="V104" s="131"/>
      <c r="W104" s="131"/>
      <c r="X104" s="131"/>
      <c r="Y104" s="131"/>
    </row>
    <row r="105" spans="2:25" ht="15" customHeight="1" x14ac:dyDescent="0.25">
      <c r="B105" s="131"/>
      <c r="C105" s="134"/>
      <c r="D105" s="131"/>
      <c r="E105" s="131"/>
      <c r="F105" s="131"/>
      <c r="G105" s="131"/>
      <c r="H105" s="131"/>
      <c r="I105" s="131"/>
      <c r="J105" s="131"/>
      <c r="K105" s="131"/>
      <c r="L105" s="131"/>
      <c r="M105" s="131"/>
      <c r="N105" s="131"/>
      <c r="O105" s="131"/>
      <c r="P105" s="131"/>
      <c r="Q105" s="340"/>
      <c r="R105" s="134"/>
      <c r="S105" s="131"/>
      <c r="T105" s="131"/>
      <c r="U105" s="131"/>
      <c r="V105" s="131"/>
      <c r="W105" s="131"/>
      <c r="X105" s="131"/>
      <c r="Y105" s="131"/>
    </row>
    <row r="106" spans="2:25" ht="15" customHeight="1" x14ac:dyDescent="0.25">
      <c r="B106" s="131"/>
      <c r="C106" s="134"/>
      <c r="D106" s="131"/>
      <c r="E106" s="131"/>
      <c r="F106" s="131"/>
      <c r="G106" s="131"/>
      <c r="H106" s="131"/>
      <c r="I106" s="131"/>
      <c r="J106" s="131"/>
      <c r="K106" s="131"/>
      <c r="L106" s="131"/>
      <c r="M106" s="131"/>
      <c r="N106" s="131"/>
      <c r="O106" s="131"/>
      <c r="P106" s="131"/>
      <c r="Q106" s="340"/>
      <c r="R106" s="134"/>
      <c r="S106" s="131"/>
      <c r="T106" s="131"/>
      <c r="U106" s="131"/>
      <c r="V106" s="131"/>
      <c r="W106" s="131"/>
      <c r="X106" s="131"/>
      <c r="Y106" s="131"/>
    </row>
    <row r="107" spans="2:25" ht="15" customHeight="1" x14ac:dyDescent="0.25">
      <c r="B107" s="131"/>
      <c r="C107" s="134"/>
      <c r="D107" s="131"/>
      <c r="E107" s="131"/>
      <c r="F107" s="131"/>
      <c r="G107" s="131"/>
      <c r="H107" s="131"/>
      <c r="I107" s="131"/>
      <c r="J107" s="131"/>
      <c r="K107" s="131"/>
      <c r="L107" s="131"/>
      <c r="M107" s="131"/>
      <c r="N107" s="131"/>
      <c r="O107" s="131"/>
      <c r="P107" s="131"/>
      <c r="Q107" s="340"/>
      <c r="R107" s="134"/>
      <c r="S107" s="131"/>
      <c r="T107" s="131"/>
      <c r="U107" s="131"/>
      <c r="V107" s="131"/>
      <c r="W107" s="131"/>
      <c r="X107" s="131"/>
      <c r="Y107" s="131"/>
    </row>
    <row r="108" spans="2:25" ht="15" customHeight="1" x14ac:dyDescent="0.25">
      <c r="B108" s="131"/>
      <c r="C108" s="134"/>
      <c r="D108" s="131"/>
      <c r="E108" s="131"/>
      <c r="F108" s="131"/>
      <c r="G108" s="131"/>
      <c r="H108" s="131"/>
      <c r="I108" s="131"/>
      <c r="J108" s="131"/>
      <c r="K108" s="131"/>
      <c r="L108" s="131"/>
      <c r="M108" s="131"/>
      <c r="N108" s="131"/>
      <c r="O108" s="131"/>
      <c r="P108" s="131"/>
      <c r="Q108" s="340"/>
      <c r="R108" s="134"/>
      <c r="S108" s="131"/>
      <c r="T108" s="131"/>
      <c r="U108" s="131"/>
      <c r="V108" s="131"/>
      <c r="W108" s="131"/>
      <c r="X108" s="131"/>
      <c r="Y108" s="131"/>
    </row>
    <row r="109" spans="2:25" ht="15" customHeight="1" x14ac:dyDescent="0.25">
      <c r="B109" s="131"/>
      <c r="C109" s="134"/>
      <c r="D109" s="131"/>
      <c r="E109" s="131"/>
      <c r="F109" s="131"/>
      <c r="G109" s="131"/>
      <c r="H109" s="131"/>
      <c r="I109" s="131"/>
      <c r="J109" s="131"/>
      <c r="K109" s="131"/>
      <c r="L109" s="131"/>
      <c r="M109" s="131"/>
      <c r="N109" s="131"/>
      <c r="O109" s="131"/>
      <c r="P109" s="131"/>
      <c r="Q109" s="340"/>
      <c r="R109" s="134"/>
      <c r="S109" s="131"/>
      <c r="T109" s="131"/>
      <c r="U109" s="131"/>
      <c r="V109" s="131"/>
      <c r="W109" s="131"/>
      <c r="X109" s="131"/>
      <c r="Y109" s="131"/>
    </row>
    <row r="110" spans="2:25" ht="15" customHeight="1" x14ac:dyDescent="0.25">
      <c r="B110" s="131"/>
      <c r="C110" s="134"/>
      <c r="D110" s="131"/>
      <c r="E110" s="131"/>
      <c r="F110" s="131"/>
      <c r="G110" s="131"/>
      <c r="H110" s="131"/>
      <c r="I110" s="131"/>
      <c r="J110" s="131"/>
      <c r="K110" s="131"/>
      <c r="L110" s="131"/>
      <c r="M110" s="131"/>
      <c r="N110" s="131"/>
      <c r="O110" s="131"/>
      <c r="P110" s="131"/>
      <c r="Q110" s="340"/>
      <c r="R110" s="134"/>
      <c r="S110" s="131"/>
      <c r="T110" s="131"/>
      <c r="U110" s="131"/>
      <c r="V110" s="131"/>
      <c r="W110" s="131"/>
      <c r="X110" s="131"/>
      <c r="Y110" s="131"/>
    </row>
    <row r="111" spans="2:25" ht="15" customHeight="1" x14ac:dyDescent="0.25">
      <c r="B111" s="131"/>
      <c r="C111" s="134"/>
      <c r="D111" s="131"/>
      <c r="E111" s="131"/>
      <c r="F111" s="131"/>
      <c r="G111" s="131"/>
      <c r="H111" s="131"/>
      <c r="I111" s="131"/>
      <c r="J111" s="131"/>
      <c r="K111" s="131"/>
      <c r="L111" s="131"/>
      <c r="M111" s="131"/>
      <c r="N111" s="131"/>
      <c r="O111" s="131"/>
      <c r="P111" s="131"/>
      <c r="Q111" s="340"/>
      <c r="R111" s="134"/>
      <c r="S111" s="131"/>
      <c r="T111" s="131"/>
      <c r="U111" s="131"/>
      <c r="V111" s="131"/>
      <c r="W111" s="131"/>
      <c r="X111" s="131"/>
      <c r="Y111" s="131"/>
    </row>
    <row r="112" spans="2:25" ht="15" customHeight="1" x14ac:dyDescent="0.25">
      <c r="B112" s="131"/>
      <c r="C112" s="134"/>
      <c r="D112" s="131"/>
      <c r="E112" s="131"/>
      <c r="F112" s="131"/>
      <c r="G112" s="131"/>
      <c r="H112" s="131"/>
      <c r="I112" s="131"/>
      <c r="J112" s="131"/>
      <c r="K112" s="131"/>
      <c r="L112" s="131"/>
      <c r="M112" s="131"/>
      <c r="N112" s="131"/>
      <c r="O112" s="131"/>
      <c r="P112" s="131"/>
      <c r="Q112" s="340"/>
      <c r="R112" s="134"/>
      <c r="S112" s="131"/>
      <c r="T112" s="131"/>
      <c r="U112" s="131"/>
      <c r="V112" s="131"/>
      <c r="W112" s="131"/>
      <c r="X112" s="131"/>
      <c r="Y112" s="131"/>
    </row>
    <row r="113" spans="2:25" ht="15" customHeight="1" x14ac:dyDescent="0.25">
      <c r="B113" s="131"/>
      <c r="C113" s="134"/>
      <c r="D113" s="131"/>
      <c r="E113" s="131"/>
      <c r="F113" s="131"/>
      <c r="G113" s="131"/>
      <c r="H113" s="131"/>
      <c r="I113" s="131"/>
      <c r="J113" s="131"/>
      <c r="K113" s="131"/>
      <c r="L113" s="131"/>
      <c r="M113" s="131"/>
      <c r="N113" s="131"/>
      <c r="O113" s="131"/>
      <c r="P113" s="131"/>
      <c r="Q113" s="340"/>
      <c r="R113" s="134"/>
      <c r="S113" s="131"/>
      <c r="T113" s="131"/>
      <c r="U113" s="131"/>
      <c r="V113" s="131"/>
      <c r="W113" s="131"/>
      <c r="X113" s="131"/>
      <c r="Y113" s="131"/>
    </row>
    <row r="114" spans="2:25" ht="15" customHeight="1" x14ac:dyDescent="0.25">
      <c r="B114" s="131"/>
      <c r="C114" s="134"/>
      <c r="D114" s="131"/>
      <c r="E114" s="131"/>
      <c r="F114" s="131"/>
      <c r="G114" s="131"/>
      <c r="H114" s="131"/>
      <c r="I114" s="131"/>
      <c r="J114" s="131"/>
      <c r="K114" s="131"/>
      <c r="L114" s="131"/>
      <c r="M114" s="131"/>
      <c r="N114" s="131"/>
      <c r="O114" s="131"/>
      <c r="P114" s="131"/>
      <c r="Q114" s="340"/>
      <c r="R114" s="134"/>
      <c r="S114" s="131"/>
      <c r="T114" s="131"/>
      <c r="U114" s="131"/>
      <c r="V114" s="131"/>
      <c r="W114" s="131"/>
      <c r="X114" s="131"/>
      <c r="Y114" s="131"/>
    </row>
    <row r="115" spans="2:25" ht="15" customHeight="1" x14ac:dyDescent="0.25">
      <c r="B115" s="131"/>
      <c r="C115" s="134"/>
      <c r="D115" s="131"/>
      <c r="E115" s="131"/>
      <c r="F115" s="131"/>
      <c r="G115" s="131"/>
      <c r="H115" s="131"/>
      <c r="I115" s="131"/>
      <c r="J115" s="131"/>
      <c r="K115" s="131"/>
      <c r="L115" s="131"/>
      <c r="M115" s="131"/>
      <c r="N115" s="131"/>
      <c r="O115" s="131"/>
      <c r="P115" s="131"/>
      <c r="Q115" s="340"/>
      <c r="R115" s="134"/>
      <c r="S115" s="131"/>
      <c r="T115" s="131"/>
      <c r="U115" s="131"/>
      <c r="V115" s="131"/>
      <c r="W115" s="131"/>
      <c r="X115" s="131"/>
      <c r="Y115" s="131"/>
    </row>
    <row r="116" spans="2:25" ht="15" customHeight="1" x14ac:dyDescent="0.25">
      <c r="B116" s="131"/>
      <c r="C116" s="134"/>
      <c r="D116" s="131"/>
      <c r="E116" s="131"/>
      <c r="F116" s="131"/>
      <c r="G116" s="131"/>
      <c r="H116" s="131"/>
      <c r="I116" s="131"/>
      <c r="J116" s="131"/>
      <c r="K116" s="131"/>
      <c r="L116" s="131"/>
      <c r="M116" s="131"/>
      <c r="N116" s="131"/>
      <c r="O116" s="131"/>
      <c r="P116" s="131"/>
      <c r="Q116" s="340"/>
      <c r="R116" s="134"/>
      <c r="S116" s="131"/>
      <c r="T116" s="131"/>
      <c r="U116" s="131"/>
      <c r="V116" s="131"/>
      <c r="W116" s="131"/>
      <c r="X116" s="131"/>
      <c r="Y116" s="131"/>
    </row>
    <row r="117" spans="2:25" ht="15" customHeight="1" x14ac:dyDescent="0.25">
      <c r="B117" s="131"/>
      <c r="C117" s="134"/>
      <c r="D117" s="131"/>
      <c r="E117" s="131"/>
      <c r="F117" s="131"/>
      <c r="G117" s="131"/>
      <c r="H117" s="131"/>
      <c r="I117" s="131"/>
      <c r="J117" s="131"/>
      <c r="K117" s="131"/>
      <c r="L117" s="131"/>
      <c r="M117" s="131"/>
      <c r="N117" s="131"/>
      <c r="O117" s="131"/>
      <c r="P117" s="131"/>
      <c r="Q117" s="340"/>
      <c r="R117" s="134"/>
      <c r="S117" s="131"/>
      <c r="T117" s="131"/>
      <c r="U117" s="131"/>
      <c r="V117" s="131"/>
      <c r="W117" s="131"/>
      <c r="X117" s="131"/>
      <c r="Y117" s="131"/>
    </row>
    <row r="118" spans="2:25" ht="15" customHeight="1" x14ac:dyDescent="0.25">
      <c r="B118" s="131"/>
      <c r="C118" s="134"/>
      <c r="D118" s="131"/>
      <c r="E118" s="131"/>
      <c r="F118" s="131"/>
      <c r="G118" s="131"/>
      <c r="H118" s="131"/>
      <c r="I118" s="131"/>
      <c r="J118" s="131"/>
      <c r="K118" s="131"/>
      <c r="L118" s="131"/>
      <c r="M118" s="131"/>
      <c r="N118" s="131"/>
      <c r="O118" s="131"/>
      <c r="P118" s="131"/>
      <c r="Q118" s="340"/>
      <c r="R118" s="134"/>
      <c r="S118" s="131"/>
      <c r="T118" s="131"/>
      <c r="U118" s="131"/>
      <c r="V118" s="131"/>
      <c r="W118" s="131"/>
      <c r="X118" s="131"/>
      <c r="Y118" s="131"/>
    </row>
    <row r="119" spans="2:25" ht="15" customHeight="1" x14ac:dyDescent="0.25">
      <c r="B119" s="131"/>
      <c r="C119" s="134"/>
      <c r="D119" s="131"/>
      <c r="E119" s="131"/>
      <c r="F119" s="131"/>
      <c r="G119" s="131"/>
      <c r="H119" s="131"/>
      <c r="I119" s="131"/>
      <c r="J119" s="131"/>
      <c r="K119" s="131"/>
      <c r="L119" s="131"/>
      <c r="M119" s="131"/>
      <c r="N119" s="131"/>
      <c r="O119" s="131"/>
      <c r="P119" s="131"/>
      <c r="Q119" s="340"/>
      <c r="R119" s="134"/>
      <c r="S119" s="131"/>
      <c r="T119" s="131"/>
      <c r="U119" s="131"/>
      <c r="V119" s="131"/>
      <c r="W119" s="131"/>
      <c r="X119" s="131"/>
      <c r="Y119" s="131"/>
    </row>
    <row r="120" spans="2:25" ht="15" customHeight="1" x14ac:dyDescent="0.25">
      <c r="B120" s="131"/>
      <c r="C120" s="134"/>
      <c r="D120" s="131"/>
      <c r="E120" s="131"/>
      <c r="F120" s="131"/>
      <c r="G120" s="131"/>
      <c r="H120" s="131"/>
      <c r="I120" s="131"/>
      <c r="J120" s="131"/>
      <c r="K120" s="131"/>
      <c r="L120" s="131"/>
      <c r="M120" s="131"/>
      <c r="N120" s="131"/>
      <c r="O120" s="131"/>
      <c r="P120" s="131"/>
      <c r="Q120" s="340"/>
      <c r="R120" s="134"/>
      <c r="S120" s="131"/>
      <c r="T120" s="131"/>
      <c r="U120" s="131"/>
      <c r="V120" s="131"/>
      <c r="W120" s="131"/>
      <c r="X120" s="131"/>
      <c r="Y120" s="131"/>
    </row>
    <row r="121" spans="2:25" ht="15" customHeight="1" x14ac:dyDescent="0.25">
      <c r="B121" s="131"/>
      <c r="C121" s="134"/>
      <c r="D121" s="131"/>
      <c r="E121" s="131"/>
      <c r="F121" s="131"/>
      <c r="G121" s="131"/>
      <c r="H121" s="131"/>
      <c r="I121" s="131"/>
      <c r="J121" s="131"/>
      <c r="K121" s="131"/>
      <c r="L121" s="131"/>
      <c r="M121" s="131"/>
      <c r="N121" s="131"/>
      <c r="O121" s="131"/>
      <c r="P121" s="131"/>
      <c r="Q121" s="340"/>
      <c r="R121" s="134"/>
      <c r="S121" s="131"/>
      <c r="T121" s="131"/>
      <c r="U121" s="131"/>
      <c r="V121" s="131"/>
      <c r="W121" s="131"/>
      <c r="X121" s="131"/>
      <c r="Y121" s="131"/>
    </row>
    <row r="122" spans="2:25" ht="15" customHeight="1" x14ac:dyDescent="0.25">
      <c r="B122" s="131"/>
      <c r="C122" s="134"/>
      <c r="D122" s="131"/>
      <c r="E122" s="131"/>
      <c r="F122" s="131"/>
      <c r="G122" s="131"/>
      <c r="H122" s="131"/>
      <c r="I122" s="131"/>
      <c r="J122" s="131"/>
      <c r="K122" s="131"/>
      <c r="L122" s="131"/>
      <c r="M122" s="131"/>
      <c r="N122" s="131"/>
      <c r="O122" s="131"/>
      <c r="P122" s="131"/>
      <c r="Q122" s="340"/>
      <c r="R122" s="134"/>
      <c r="S122" s="131"/>
      <c r="T122" s="131"/>
      <c r="U122" s="131"/>
      <c r="V122" s="131"/>
      <c r="W122" s="131"/>
      <c r="X122" s="131"/>
      <c r="Y122" s="131"/>
    </row>
    <row r="123" spans="2:25" ht="15" customHeight="1" x14ac:dyDescent="0.25">
      <c r="B123" s="131"/>
      <c r="C123" s="134"/>
      <c r="D123" s="131"/>
      <c r="E123" s="131"/>
      <c r="F123" s="131"/>
      <c r="G123" s="131"/>
      <c r="H123" s="131"/>
      <c r="I123" s="131"/>
      <c r="J123" s="131"/>
      <c r="K123" s="131"/>
      <c r="L123" s="131"/>
      <c r="M123" s="131"/>
      <c r="N123" s="131"/>
      <c r="O123" s="131"/>
      <c r="P123" s="131"/>
      <c r="Q123" s="340"/>
      <c r="R123" s="134"/>
      <c r="S123" s="131"/>
      <c r="T123" s="131"/>
      <c r="U123" s="131"/>
      <c r="V123" s="131"/>
      <c r="W123" s="131"/>
      <c r="X123" s="131"/>
      <c r="Y123" s="131"/>
    </row>
    <row r="124" spans="2:25" ht="15" customHeight="1" x14ac:dyDescent="0.25">
      <c r="B124" s="131"/>
      <c r="C124" s="134"/>
      <c r="D124" s="131"/>
      <c r="E124" s="131"/>
      <c r="F124" s="131"/>
      <c r="G124" s="131"/>
      <c r="H124" s="131"/>
      <c r="I124" s="131"/>
      <c r="J124" s="131"/>
      <c r="K124" s="131"/>
      <c r="L124" s="131"/>
      <c r="M124" s="131"/>
      <c r="N124" s="131"/>
      <c r="O124" s="131"/>
      <c r="P124" s="131"/>
      <c r="Q124" s="340"/>
      <c r="R124" s="134"/>
      <c r="S124" s="131"/>
      <c r="T124" s="131"/>
      <c r="U124" s="131"/>
      <c r="V124" s="131"/>
      <c r="W124" s="131"/>
      <c r="X124" s="131"/>
      <c r="Y124" s="131"/>
    </row>
    <row r="125" spans="2:25" ht="15" customHeight="1" x14ac:dyDescent="0.25">
      <c r="B125" s="131"/>
      <c r="C125" s="134"/>
      <c r="D125" s="131"/>
      <c r="E125" s="131"/>
      <c r="F125" s="131"/>
      <c r="G125" s="131"/>
      <c r="H125" s="131"/>
      <c r="I125" s="131"/>
      <c r="J125" s="131"/>
      <c r="K125" s="131"/>
      <c r="L125" s="131"/>
      <c r="M125" s="131"/>
      <c r="N125" s="131"/>
      <c r="O125" s="131"/>
      <c r="P125" s="131"/>
      <c r="Q125" s="340"/>
      <c r="R125" s="134"/>
      <c r="S125" s="131"/>
      <c r="T125" s="131"/>
      <c r="U125" s="131"/>
      <c r="V125" s="131"/>
      <c r="W125" s="131"/>
      <c r="X125" s="131"/>
      <c r="Y125" s="131"/>
    </row>
    <row r="126" spans="2:25" ht="15" customHeight="1" x14ac:dyDescent="0.25">
      <c r="B126" s="131"/>
      <c r="C126" s="134"/>
      <c r="D126" s="131"/>
      <c r="E126" s="131"/>
      <c r="F126" s="131"/>
      <c r="G126" s="131"/>
      <c r="H126" s="131"/>
      <c r="I126" s="131"/>
      <c r="J126" s="131"/>
      <c r="K126" s="131"/>
      <c r="L126" s="131"/>
      <c r="M126" s="131"/>
      <c r="N126" s="131"/>
      <c r="O126" s="131"/>
      <c r="P126" s="131"/>
      <c r="Q126" s="340"/>
      <c r="R126" s="134"/>
      <c r="S126" s="131"/>
      <c r="T126" s="131"/>
      <c r="U126" s="131"/>
      <c r="V126" s="131"/>
      <c r="W126" s="131"/>
      <c r="X126" s="131"/>
      <c r="Y126" s="131"/>
    </row>
    <row r="127" spans="2:25" ht="15" customHeight="1" x14ac:dyDescent="0.25">
      <c r="B127" s="131"/>
      <c r="C127" s="134"/>
      <c r="D127" s="131"/>
      <c r="E127" s="131"/>
      <c r="F127" s="131"/>
      <c r="G127" s="131"/>
      <c r="H127" s="131"/>
      <c r="I127" s="131"/>
      <c r="J127" s="131"/>
      <c r="K127" s="131"/>
      <c r="L127" s="131"/>
      <c r="M127" s="131"/>
      <c r="N127" s="131"/>
      <c r="O127" s="131"/>
      <c r="P127" s="131"/>
      <c r="Q127" s="340"/>
      <c r="R127" s="134"/>
      <c r="S127" s="131"/>
      <c r="T127" s="131"/>
      <c r="U127" s="131"/>
      <c r="V127" s="131"/>
      <c r="W127" s="131"/>
      <c r="X127" s="131"/>
      <c r="Y127" s="131"/>
    </row>
    <row r="128" spans="2:25" ht="15" customHeight="1" x14ac:dyDescent="0.25">
      <c r="B128" s="131"/>
      <c r="C128" s="134"/>
      <c r="D128" s="131"/>
      <c r="E128" s="131"/>
      <c r="F128" s="131"/>
      <c r="G128" s="131"/>
      <c r="H128" s="131"/>
      <c r="I128" s="131"/>
      <c r="J128" s="131"/>
      <c r="K128" s="131"/>
      <c r="L128" s="131"/>
      <c r="M128" s="131"/>
      <c r="N128" s="131"/>
      <c r="O128" s="131"/>
      <c r="P128" s="131"/>
      <c r="Q128" s="340"/>
      <c r="R128" s="134"/>
      <c r="S128" s="131"/>
      <c r="T128" s="131"/>
      <c r="U128" s="131"/>
      <c r="V128" s="131"/>
      <c r="W128" s="131"/>
      <c r="X128" s="131"/>
      <c r="Y128" s="131"/>
    </row>
    <row r="129" spans="2:25" ht="15" customHeight="1" x14ac:dyDescent="0.25">
      <c r="B129" s="131"/>
      <c r="C129" s="134"/>
      <c r="D129" s="131"/>
      <c r="E129" s="131"/>
      <c r="F129" s="131"/>
      <c r="G129" s="131"/>
      <c r="H129" s="131"/>
      <c r="I129" s="131"/>
      <c r="J129" s="131"/>
      <c r="K129" s="131"/>
      <c r="L129" s="131"/>
      <c r="M129" s="131"/>
      <c r="N129" s="131"/>
      <c r="O129" s="131"/>
      <c r="P129" s="131"/>
      <c r="Q129" s="340"/>
      <c r="R129" s="134"/>
      <c r="S129" s="131"/>
      <c r="T129" s="131"/>
      <c r="U129" s="131"/>
      <c r="V129" s="131"/>
      <c r="W129" s="131"/>
      <c r="X129" s="131"/>
      <c r="Y129" s="131"/>
    </row>
    <row r="130" spans="2:25" ht="15" customHeight="1" x14ac:dyDescent="0.25">
      <c r="B130" s="131"/>
      <c r="C130" s="134"/>
      <c r="D130" s="131"/>
      <c r="E130" s="131"/>
      <c r="F130" s="131"/>
      <c r="G130" s="131"/>
      <c r="H130" s="131"/>
      <c r="I130" s="131"/>
      <c r="J130" s="131"/>
      <c r="K130" s="131"/>
      <c r="L130" s="131"/>
      <c r="M130" s="131"/>
      <c r="N130" s="131"/>
      <c r="O130" s="131"/>
      <c r="P130" s="131"/>
      <c r="Q130" s="340"/>
      <c r="R130" s="134"/>
      <c r="S130" s="131"/>
      <c r="T130" s="131"/>
      <c r="U130" s="131"/>
      <c r="V130" s="131"/>
      <c r="W130" s="131"/>
      <c r="X130" s="131"/>
      <c r="Y130" s="131"/>
    </row>
    <row r="131" spans="2:25" ht="15" customHeight="1" x14ac:dyDescent="0.25">
      <c r="B131" s="131"/>
      <c r="C131" s="134"/>
      <c r="D131" s="131"/>
      <c r="E131" s="131"/>
      <c r="F131" s="131"/>
      <c r="G131" s="131"/>
      <c r="H131" s="131"/>
      <c r="I131" s="131"/>
      <c r="J131" s="131"/>
      <c r="K131" s="131"/>
      <c r="L131" s="131"/>
      <c r="M131" s="131"/>
      <c r="N131" s="131"/>
      <c r="O131" s="131"/>
      <c r="P131" s="131"/>
      <c r="Q131" s="340"/>
      <c r="R131" s="134"/>
      <c r="S131" s="131"/>
      <c r="T131" s="131"/>
      <c r="U131" s="131"/>
      <c r="V131" s="131"/>
      <c r="W131" s="131"/>
      <c r="X131" s="131"/>
      <c r="Y131" s="131"/>
    </row>
    <row r="132" spans="2:25" ht="15" customHeight="1" x14ac:dyDescent="0.25">
      <c r="B132" s="131"/>
      <c r="C132" s="134"/>
      <c r="D132" s="131"/>
      <c r="E132" s="131"/>
      <c r="F132" s="131"/>
      <c r="G132" s="131"/>
      <c r="H132" s="131"/>
      <c r="I132" s="131"/>
      <c r="J132" s="131"/>
      <c r="K132" s="131"/>
      <c r="L132" s="131"/>
      <c r="M132" s="131"/>
      <c r="N132" s="131"/>
      <c r="O132" s="131"/>
      <c r="P132" s="131"/>
      <c r="Q132" s="340"/>
      <c r="R132" s="134"/>
      <c r="S132" s="131"/>
      <c r="T132" s="131"/>
      <c r="U132" s="131"/>
      <c r="V132" s="131"/>
      <c r="W132" s="131"/>
      <c r="X132" s="131"/>
      <c r="Y132" s="131"/>
    </row>
    <row r="133" spans="2:25" ht="15" customHeight="1" x14ac:dyDescent="0.25">
      <c r="B133" s="131"/>
      <c r="C133" s="134"/>
      <c r="D133" s="131"/>
      <c r="E133" s="131"/>
      <c r="F133" s="131"/>
      <c r="G133" s="131"/>
      <c r="H133" s="131"/>
      <c r="I133" s="131"/>
      <c r="J133" s="131"/>
      <c r="K133" s="131"/>
      <c r="L133" s="131"/>
      <c r="M133" s="131"/>
      <c r="N133" s="131"/>
      <c r="O133" s="131"/>
      <c r="P133" s="131"/>
      <c r="Q133" s="340"/>
      <c r="R133" s="134"/>
      <c r="S133" s="131"/>
      <c r="T133" s="131"/>
      <c r="U133" s="131"/>
      <c r="V133" s="131"/>
      <c r="W133" s="131"/>
      <c r="X133" s="131"/>
      <c r="Y133" s="131"/>
    </row>
    <row r="134" spans="2:25" ht="15" customHeight="1" x14ac:dyDescent="0.25">
      <c r="B134" s="131"/>
      <c r="C134" s="134"/>
      <c r="D134" s="131"/>
      <c r="E134" s="131"/>
      <c r="F134" s="131"/>
      <c r="G134" s="131"/>
      <c r="H134" s="131"/>
      <c r="I134" s="131"/>
      <c r="J134" s="131"/>
      <c r="K134" s="131"/>
      <c r="L134" s="131"/>
      <c r="M134" s="131"/>
      <c r="N134" s="131"/>
      <c r="O134" s="131"/>
      <c r="P134" s="131"/>
      <c r="Q134" s="340"/>
      <c r="R134" s="134"/>
      <c r="S134" s="131"/>
      <c r="T134" s="131"/>
      <c r="U134" s="131"/>
      <c r="V134" s="131"/>
      <c r="W134" s="131"/>
      <c r="X134" s="131"/>
      <c r="Y134" s="131"/>
    </row>
    <row r="135" spans="2:25" ht="15" customHeight="1" x14ac:dyDescent="0.25">
      <c r="B135" s="131"/>
      <c r="C135" s="134"/>
      <c r="D135" s="131"/>
      <c r="E135" s="131"/>
      <c r="F135" s="131"/>
      <c r="G135" s="131"/>
      <c r="H135" s="131"/>
      <c r="I135" s="131"/>
      <c r="J135" s="131"/>
      <c r="K135" s="131"/>
      <c r="L135" s="131"/>
      <c r="M135" s="131"/>
      <c r="N135" s="131"/>
      <c r="O135" s="131"/>
      <c r="P135" s="131"/>
      <c r="Q135" s="340"/>
      <c r="R135" s="134"/>
      <c r="S135" s="131"/>
      <c r="T135" s="131"/>
      <c r="U135" s="131"/>
      <c r="V135" s="131"/>
      <c r="W135" s="131"/>
      <c r="X135" s="131"/>
      <c r="Y135" s="131"/>
    </row>
    <row r="136" spans="2:25" ht="15" customHeight="1" x14ac:dyDescent="0.25">
      <c r="B136" s="131"/>
      <c r="C136" s="134"/>
      <c r="D136" s="131"/>
      <c r="E136" s="131"/>
      <c r="F136" s="131"/>
      <c r="G136" s="131"/>
      <c r="H136" s="131"/>
      <c r="I136" s="131"/>
      <c r="J136" s="131"/>
      <c r="K136" s="131"/>
      <c r="L136" s="131"/>
      <c r="M136" s="131"/>
      <c r="N136" s="131"/>
      <c r="O136" s="131"/>
      <c r="P136" s="131"/>
      <c r="Q136" s="340"/>
      <c r="R136" s="134"/>
      <c r="S136" s="131"/>
      <c r="T136" s="131"/>
      <c r="U136" s="131"/>
      <c r="V136" s="131"/>
      <c r="W136" s="131"/>
      <c r="X136" s="131"/>
      <c r="Y136" s="131"/>
    </row>
    <row r="137" spans="2:25" ht="15" customHeight="1" x14ac:dyDescent="0.25">
      <c r="B137" s="131"/>
      <c r="C137" s="134"/>
      <c r="D137" s="131"/>
      <c r="E137" s="136"/>
      <c r="F137" s="136"/>
      <c r="G137" s="136"/>
      <c r="H137" s="136"/>
      <c r="I137" s="136"/>
      <c r="J137" s="136"/>
      <c r="K137" s="136"/>
      <c r="L137" s="136"/>
      <c r="M137" s="136"/>
      <c r="N137" s="136"/>
      <c r="O137" s="136"/>
      <c r="P137" s="136"/>
      <c r="Q137" s="341"/>
      <c r="R137" s="134"/>
      <c r="S137" s="136"/>
      <c r="T137" s="136"/>
      <c r="U137" s="136"/>
      <c r="V137" s="136"/>
      <c r="W137" s="136"/>
      <c r="X137" s="136"/>
      <c r="Y137" s="136"/>
    </row>
    <row r="138" spans="2:25" ht="15" customHeight="1" x14ac:dyDescent="0.25">
      <c r="B138" s="131"/>
      <c r="C138" s="134"/>
      <c r="D138" s="131"/>
      <c r="E138" s="131"/>
      <c r="F138" s="131"/>
      <c r="G138" s="131"/>
      <c r="H138" s="131"/>
      <c r="I138" s="131"/>
      <c r="J138" s="131"/>
      <c r="K138" s="131"/>
      <c r="L138" s="131"/>
      <c r="M138" s="131"/>
      <c r="N138" s="131"/>
      <c r="O138" s="131"/>
      <c r="P138" s="131"/>
      <c r="Q138" s="340"/>
      <c r="R138" s="134"/>
      <c r="S138" s="131"/>
      <c r="T138" s="131"/>
      <c r="U138" s="131"/>
      <c r="V138" s="131"/>
      <c r="W138" s="131"/>
      <c r="X138" s="131"/>
      <c r="Y138" s="131"/>
    </row>
    <row r="139" spans="2:25" ht="15" customHeight="1" x14ac:dyDescent="0.25">
      <c r="B139" s="131"/>
      <c r="C139" s="134"/>
      <c r="D139" s="131"/>
      <c r="E139" s="131"/>
      <c r="F139" s="131"/>
      <c r="G139" s="131"/>
      <c r="H139" s="131"/>
      <c r="I139" s="131"/>
      <c r="J139" s="131"/>
      <c r="K139" s="131"/>
      <c r="L139" s="131"/>
      <c r="M139" s="131"/>
      <c r="N139" s="131"/>
      <c r="O139" s="131"/>
      <c r="P139" s="131"/>
      <c r="Q139" s="340"/>
      <c r="R139" s="134"/>
      <c r="S139" s="131"/>
      <c r="T139" s="131"/>
      <c r="U139" s="131"/>
      <c r="V139" s="131"/>
      <c r="W139" s="131"/>
      <c r="X139" s="131"/>
      <c r="Y139" s="131"/>
    </row>
    <row r="140" spans="2:25" ht="15" customHeight="1" x14ac:dyDescent="0.25">
      <c r="B140" s="131"/>
      <c r="C140" s="134"/>
      <c r="D140" s="131"/>
      <c r="E140" s="131"/>
      <c r="F140" s="131"/>
      <c r="G140" s="131"/>
      <c r="H140" s="131"/>
      <c r="I140" s="131"/>
      <c r="J140" s="131"/>
      <c r="K140" s="131"/>
      <c r="L140" s="131"/>
      <c r="M140" s="131"/>
      <c r="N140" s="131"/>
      <c r="O140" s="131"/>
      <c r="P140" s="131"/>
      <c r="Q140" s="340"/>
      <c r="R140" s="134"/>
      <c r="S140" s="131"/>
      <c r="T140" s="131"/>
      <c r="U140" s="131"/>
      <c r="V140" s="131"/>
      <c r="W140" s="131"/>
      <c r="X140" s="131"/>
      <c r="Y140" s="131"/>
    </row>
    <row r="141" spans="2:25" ht="15" customHeight="1" x14ac:dyDescent="0.25">
      <c r="B141" s="131"/>
      <c r="C141" s="134"/>
      <c r="D141" s="131"/>
      <c r="E141" s="131"/>
      <c r="F141" s="131"/>
      <c r="G141" s="131"/>
      <c r="H141" s="131"/>
      <c r="I141" s="131"/>
      <c r="J141" s="131"/>
      <c r="K141" s="131"/>
      <c r="L141" s="131"/>
      <c r="M141" s="131"/>
      <c r="N141" s="131"/>
      <c r="O141" s="131"/>
      <c r="P141" s="131"/>
      <c r="Q141" s="340"/>
      <c r="R141" s="134"/>
      <c r="S141" s="131"/>
      <c r="T141" s="131"/>
      <c r="U141" s="131"/>
      <c r="V141" s="131"/>
      <c r="W141" s="131"/>
      <c r="X141" s="131"/>
      <c r="Y141" s="131"/>
    </row>
    <row r="142" spans="2:25" ht="15" customHeight="1" x14ac:dyDescent="0.25">
      <c r="B142" s="131"/>
      <c r="C142" s="134"/>
      <c r="D142" s="131"/>
      <c r="E142" s="131"/>
      <c r="F142" s="131"/>
      <c r="G142" s="131"/>
      <c r="H142" s="131"/>
      <c r="I142" s="131"/>
      <c r="J142" s="131"/>
      <c r="K142" s="131"/>
      <c r="L142" s="131"/>
      <c r="M142" s="131"/>
      <c r="N142" s="131"/>
      <c r="O142" s="131"/>
      <c r="P142" s="131"/>
      <c r="Q142" s="340"/>
      <c r="R142" s="134"/>
      <c r="S142" s="131"/>
      <c r="T142" s="131"/>
      <c r="U142" s="131"/>
      <c r="V142" s="131"/>
      <c r="W142" s="131"/>
      <c r="X142" s="131"/>
      <c r="Y142" s="131"/>
    </row>
    <row r="143" spans="2:25" ht="15" customHeight="1" x14ac:dyDescent="0.25">
      <c r="B143" s="131"/>
      <c r="C143" s="134"/>
      <c r="D143" s="131"/>
      <c r="E143" s="131"/>
      <c r="F143" s="131"/>
      <c r="G143" s="131"/>
      <c r="H143" s="131"/>
      <c r="I143" s="131"/>
      <c r="J143" s="131"/>
      <c r="K143" s="131"/>
      <c r="L143" s="131"/>
      <c r="M143" s="131"/>
      <c r="N143" s="131"/>
      <c r="O143" s="131"/>
      <c r="P143" s="131"/>
      <c r="Q143" s="340"/>
      <c r="R143" s="134"/>
      <c r="S143" s="131"/>
      <c r="T143" s="131"/>
      <c r="U143" s="131"/>
      <c r="V143" s="131"/>
      <c r="W143" s="131"/>
      <c r="X143" s="131"/>
      <c r="Y143" s="131"/>
    </row>
    <row r="144" spans="2:25" ht="15" customHeight="1" x14ac:dyDescent="0.25">
      <c r="B144" s="131"/>
      <c r="C144" s="134"/>
      <c r="D144" s="131"/>
      <c r="E144" s="131"/>
      <c r="F144" s="131"/>
      <c r="G144" s="131"/>
      <c r="H144" s="131"/>
      <c r="I144" s="131"/>
      <c r="J144" s="131"/>
      <c r="K144" s="131"/>
      <c r="L144" s="131"/>
      <c r="M144" s="131"/>
      <c r="N144" s="131"/>
      <c r="O144" s="131"/>
      <c r="P144" s="131"/>
      <c r="Q144" s="340"/>
      <c r="R144" s="134"/>
      <c r="S144" s="131"/>
      <c r="T144" s="131"/>
      <c r="U144" s="131"/>
      <c r="V144" s="131"/>
      <c r="W144" s="131"/>
      <c r="X144" s="131"/>
      <c r="Y144" s="131"/>
    </row>
    <row r="145" spans="2:25" ht="15" customHeight="1" x14ac:dyDescent="0.25">
      <c r="B145" s="131"/>
      <c r="C145" s="134"/>
      <c r="D145" s="131"/>
      <c r="E145" s="131"/>
      <c r="F145" s="131"/>
      <c r="G145" s="131"/>
      <c r="H145" s="131"/>
      <c r="I145" s="131"/>
      <c r="J145" s="131"/>
      <c r="K145" s="131"/>
      <c r="L145" s="131"/>
      <c r="M145" s="131"/>
      <c r="N145" s="131"/>
      <c r="O145" s="131"/>
      <c r="P145" s="131"/>
      <c r="Q145" s="340"/>
      <c r="R145" s="134"/>
      <c r="S145" s="131"/>
      <c r="T145" s="131"/>
      <c r="U145" s="131"/>
      <c r="V145" s="131"/>
      <c r="W145" s="131"/>
      <c r="X145" s="131"/>
      <c r="Y145" s="131"/>
    </row>
    <row r="146" spans="2:25" ht="15" customHeight="1" x14ac:dyDescent="0.25">
      <c r="B146" s="131"/>
      <c r="C146" s="134"/>
      <c r="D146" s="131"/>
      <c r="E146" s="131"/>
      <c r="F146" s="131"/>
      <c r="G146" s="131"/>
      <c r="H146" s="131"/>
      <c r="I146" s="131"/>
      <c r="J146" s="131"/>
      <c r="K146" s="131"/>
      <c r="L146" s="131"/>
      <c r="M146" s="131"/>
      <c r="N146" s="131"/>
      <c r="O146" s="131"/>
      <c r="P146" s="131"/>
      <c r="Q146" s="340"/>
      <c r="R146" s="134"/>
      <c r="S146" s="131"/>
      <c r="T146" s="131"/>
      <c r="U146" s="131"/>
      <c r="V146" s="131"/>
      <c r="W146" s="131"/>
      <c r="X146" s="131"/>
      <c r="Y146" s="131"/>
    </row>
    <row r="147" spans="2:25" ht="15" customHeight="1" x14ac:dyDescent="0.25">
      <c r="B147" s="131"/>
      <c r="C147" s="134"/>
      <c r="D147" s="131"/>
      <c r="E147" s="131"/>
      <c r="F147" s="131"/>
      <c r="G147" s="131"/>
      <c r="H147" s="131"/>
      <c r="I147" s="131"/>
      <c r="J147" s="131"/>
      <c r="K147" s="131"/>
      <c r="L147" s="131"/>
      <c r="M147" s="131"/>
      <c r="N147" s="131"/>
      <c r="O147" s="131"/>
      <c r="P147" s="131"/>
      <c r="Q147" s="340"/>
      <c r="R147" s="134"/>
      <c r="S147" s="131"/>
      <c r="T147" s="131"/>
      <c r="U147" s="131"/>
      <c r="V147" s="131"/>
      <c r="W147" s="131"/>
      <c r="X147" s="131"/>
      <c r="Y147" s="131"/>
    </row>
    <row r="148" spans="2:25" ht="15" customHeight="1" x14ac:dyDescent="0.25">
      <c r="B148" s="131"/>
      <c r="C148" s="134"/>
      <c r="D148" s="131"/>
      <c r="E148" s="131"/>
      <c r="F148" s="131"/>
      <c r="G148" s="131"/>
      <c r="H148" s="131"/>
      <c r="I148" s="131"/>
      <c r="J148" s="131"/>
      <c r="K148" s="131"/>
      <c r="L148" s="131"/>
      <c r="M148" s="131"/>
      <c r="N148" s="131"/>
      <c r="O148" s="131"/>
      <c r="P148" s="131"/>
      <c r="Q148" s="340"/>
      <c r="R148" s="134"/>
      <c r="S148" s="131"/>
      <c r="T148" s="131"/>
      <c r="U148" s="131"/>
      <c r="V148" s="131"/>
      <c r="W148" s="131"/>
      <c r="X148" s="131"/>
      <c r="Y148" s="131"/>
    </row>
    <row r="149" spans="2:25" ht="15" customHeight="1" x14ac:dyDescent="0.25">
      <c r="B149" s="131"/>
      <c r="C149" s="134"/>
      <c r="D149" s="131"/>
      <c r="E149" s="131"/>
      <c r="F149" s="131"/>
      <c r="G149" s="131"/>
      <c r="H149" s="131"/>
      <c r="I149" s="131"/>
      <c r="J149" s="131"/>
      <c r="K149" s="131"/>
      <c r="L149" s="131"/>
      <c r="M149" s="131"/>
      <c r="N149" s="131"/>
      <c r="O149" s="131"/>
      <c r="P149" s="131"/>
      <c r="Q149" s="340"/>
      <c r="R149" s="134"/>
      <c r="S149" s="131"/>
      <c r="T149" s="131"/>
      <c r="U149" s="131"/>
      <c r="V149" s="131"/>
      <c r="W149" s="131"/>
      <c r="X149" s="131"/>
      <c r="Y149" s="131"/>
    </row>
    <row r="150" spans="2:25" ht="15" customHeight="1" x14ac:dyDescent="0.25">
      <c r="B150" s="131"/>
      <c r="C150" s="134"/>
      <c r="D150" s="131"/>
      <c r="E150" s="131"/>
      <c r="F150" s="131"/>
      <c r="G150" s="131"/>
      <c r="H150" s="131"/>
      <c r="I150" s="131"/>
      <c r="J150" s="131"/>
      <c r="K150" s="131"/>
      <c r="L150" s="131"/>
      <c r="M150" s="131"/>
      <c r="N150" s="131"/>
      <c r="O150" s="131"/>
      <c r="P150" s="131"/>
      <c r="Q150" s="340"/>
      <c r="R150" s="134"/>
      <c r="S150" s="131"/>
      <c r="T150" s="131"/>
      <c r="U150" s="131"/>
      <c r="V150" s="131"/>
      <c r="W150" s="131"/>
      <c r="X150" s="131"/>
      <c r="Y150" s="131"/>
    </row>
    <row r="151" spans="2:25" ht="15" customHeight="1" x14ac:dyDescent="0.25">
      <c r="B151" s="131"/>
      <c r="C151" s="134"/>
      <c r="D151" s="131"/>
      <c r="E151" s="131"/>
      <c r="F151" s="131"/>
      <c r="G151" s="131"/>
      <c r="H151" s="131"/>
      <c r="I151" s="131"/>
      <c r="J151" s="131"/>
      <c r="K151" s="131"/>
      <c r="L151" s="131"/>
      <c r="M151" s="131"/>
      <c r="N151" s="131"/>
      <c r="O151" s="131"/>
      <c r="P151" s="131"/>
      <c r="Q151" s="340"/>
      <c r="R151" s="134"/>
      <c r="S151" s="131"/>
      <c r="T151" s="131"/>
      <c r="U151" s="131"/>
      <c r="V151" s="131"/>
      <c r="W151" s="131"/>
      <c r="X151" s="131"/>
      <c r="Y151" s="131"/>
    </row>
    <row r="152" spans="2:25" ht="15" customHeight="1" x14ac:dyDescent="0.25">
      <c r="B152" s="131"/>
      <c r="C152" s="134"/>
      <c r="D152" s="131"/>
      <c r="E152" s="131"/>
      <c r="F152" s="131"/>
      <c r="G152" s="131"/>
      <c r="H152" s="131"/>
      <c r="I152" s="131"/>
      <c r="J152" s="131"/>
      <c r="K152" s="131"/>
      <c r="L152" s="131"/>
      <c r="M152" s="131"/>
      <c r="N152" s="131"/>
      <c r="O152" s="131"/>
      <c r="P152" s="131"/>
      <c r="Q152" s="340"/>
      <c r="R152" s="134"/>
      <c r="S152" s="131"/>
      <c r="T152" s="131"/>
      <c r="U152" s="131"/>
      <c r="V152" s="131"/>
      <c r="W152" s="131"/>
      <c r="X152" s="131"/>
      <c r="Y152" s="131"/>
    </row>
    <row r="153" spans="2:25" ht="15" customHeight="1" x14ac:dyDescent="0.25">
      <c r="B153" s="131"/>
      <c r="C153" s="134"/>
      <c r="D153" s="131"/>
      <c r="E153" s="131"/>
      <c r="F153" s="131"/>
      <c r="G153" s="131"/>
      <c r="H153" s="131"/>
      <c r="I153" s="131"/>
      <c r="J153" s="131"/>
      <c r="K153" s="131"/>
      <c r="L153" s="131"/>
      <c r="M153" s="131"/>
      <c r="N153" s="131"/>
      <c r="O153" s="131"/>
      <c r="P153" s="131"/>
      <c r="Q153" s="340"/>
      <c r="R153" s="134"/>
      <c r="S153" s="131"/>
      <c r="T153" s="131"/>
      <c r="U153" s="131"/>
      <c r="V153" s="131"/>
      <c r="W153" s="131"/>
      <c r="X153" s="131"/>
      <c r="Y153" s="131"/>
    </row>
    <row r="154" spans="2:25" ht="15" customHeight="1" x14ac:dyDescent="0.25">
      <c r="B154" s="131"/>
      <c r="C154" s="134"/>
      <c r="D154" s="131"/>
      <c r="E154" s="131"/>
      <c r="F154" s="131"/>
      <c r="G154" s="131"/>
      <c r="H154" s="131"/>
      <c r="I154" s="131"/>
      <c r="J154" s="131"/>
      <c r="K154" s="131"/>
      <c r="L154" s="131"/>
      <c r="M154" s="131"/>
      <c r="N154" s="131"/>
      <c r="O154" s="131"/>
      <c r="P154" s="131"/>
      <c r="Q154" s="340"/>
      <c r="R154" s="134"/>
      <c r="S154" s="131"/>
      <c r="T154" s="131"/>
      <c r="U154" s="131"/>
      <c r="V154" s="131"/>
      <c r="W154" s="131"/>
      <c r="X154" s="131"/>
      <c r="Y154" s="131"/>
    </row>
    <row r="155" spans="2:25" ht="15" customHeight="1" x14ac:dyDescent="0.25">
      <c r="B155" s="131"/>
      <c r="C155" s="134"/>
      <c r="D155" s="131"/>
      <c r="E155" s="131"/>
      <c r="F155" s="131"/>
      <c r="G155" s="131"/>
      <c r="H155" s="131"/>
      <c r="I155" s="131"/>
      <c r="J155" s="131"/>
      <c r="K155" s="131"/>
      <c r="L155" s="131"/>
      <c r="M155" s="131"/>
      <c r="N155" s="131"/>
      <c r="O155" s="131"/>
      <c r="P155" s="131"/>
      <c r="Q155" s="340"/>
      <c r="R155" s="134"/>
      <c r="S155" s="131"/>
      <c r="T155" s="131"/>
      <c r="U155" s="131"/>
      <c r="V155" s="131"/>
      <c r="W155" s="131"/>
      <c r="X155" s="131"/>
      <c r="Y155" s="131"/>
    </row>
    <row r="156" spans="2:25" ht="15" customHeight="1" x14ac:dyDescent="0.25">
      <c r="B156" s="131"/>
      <c r="C156" s="134"/>
      <c r="D156" s="131"/>
      <c r="E156" s="131"/>
      <c r="F156" s="131"/>
      <c r="G156" s="131"/>
      <c r="H156" s="131"/>
      <c r="I156" s="131"/>
      <c r="J156" s="131"/>
      <c r="K156" s="131"/>
      <c r="L156" s="131"/>
      <c r="M156" s="131"/>
      <c r="N156" s="131"/>
      <c r="O156" s="131"/>
      <c r="P156" s="131"/>
      <c r="Q156" s="340"/>
      <c r="R156" s="134"/>
      <c r="S156" s="131"/>
      <c r="T156" s="131"/>
      <c r="U156" s="131"/>
      <c r="V156" s="131"/>
      <c r="W156" s="131"/>
      <c r="X156" s="131"/>
      <c r="Y156" s="131"/>
    </row>
    <row r="157" spans="2:25" ht="15" customHeight="1" x14ac:dyDescent="0.25">
      <c r="B157" s="131"/>
      <c r="C157" s="134"/>
      <c r="D157" s="131"/>
      <c r="E157" s="131"/>
      <c r="F157" s="131"/>
      <c r="G157" s="131"/>
      <c r="H157" s="131"/>
      <c r="I157" s="131"/>
      <c r="J157" s="131"/>
      <c r="K157" s="131"/>
      <c r="L157" s="131"/>
      <c r="M157" s="131"/>
      <c r="N157" s="131"/>
      <c r="O157" s="131"/>
      <c r="P157" s="131"/>
      <c r="Q157" s="340"/>
      <c r="R157" s="134"/>
      <c r="S157" s="131"/>
      <c r="T157" s="131"/>
      <c r="U157" s="131"/>
      <c r="V157" s="131"/>
      <c r="W157" s="131"/>
      <c r="X157" s="131"/>
      <c r="Y157" s="131"/>
    </row>
    <row r="158" spans="2:25" ht="15" customHeight="1" x14ac:dyDescent="0.25">
      <c r="B158" s="131"/>
      <c r="C158" s="134"/>
      <c r="D158" s="131"/>
      <c r="E158" s="131"/>
      <c r="F158" s="131"/>
      <c r="G158" s="131"/>
      <c r="H158" s="131"/>
      <c r="I158" s="131"/>
      <c r="J158" s="131"/>
      <c r="K158" s="131"/>
      <c r="L158" s="131"/>
      <c r="M158" s="131"/>
      <c r="N158" s="131"/>
      <c r="O158" s="131"/>
      <c r="P158" s="131"/>
      <c r="Q158" s="340"/>
      <c r="R158" s="134"/>
      <c r="S158" s="131"/>
      <c r="T158" s="131"/>
      <c r="U158" s="131"/>
      <c r="V158" s="131"/>
      <c r="W158" s="131"/>
      <c r="X158" s="131"/>
      <c r="Y158" s="131"/>
    </row>
    <row r="159" spans="2:25" ht="15" customHeight="1" x14ac:dyDescent="0.25">
      <c r="B159" s="131"/>
      <c r="C159" s="134"/>
      <c r="D159" s="131"/>
      <c r="E159" s="131"/>
      <c r="F159" s="131"/>
      <c r="G159" s="131"/>
      <c r="H159" s="131"/>
      <c r="I159" s="131"/>
      <c r="J159" s="131"/>
      <c r="K159" s="131"/>
      <c r="L159" s="131"/>
      <c r="M159" s="131"/>
      <c r="N159" s="131"/>
      <c r="O159" s="131"/>
      <c r="P159" s="131"/>
      <c r="Q159" s="340"/>
      <c r="R159" s="134"/>
      <c r="S159" s="131"/>
      <c r="T159" s="131"/>
      <c r="U159" s="131"/>
      <c r="V159" s="131"/>
      <c r="W159" s="131"/>
      <c r="X159" s="131"/>
      <c r="Y159" s="131"/>
    </row>
    <row r="160" spans="2:25" ht="15" customHeight="1" x14ac:dyDescent="0.25">
      <c r="B160" s="131"/>
      <c r="C160" s="134"/>
      <c r="D160" s="131"/>
      <c r="E160" s="131"/>
      <c r="F160" s="131"/>
      <c r="G160" s="131"/>
      <c r="H160" s="131"/>
      <c r="I160" s="131"/>
      <c r="J160" s="131"/>
      <c r="K160" s="131"/>
      <c r="L160" s="131"/>
      <c r="M160" s="131"/>
      <c r="N160" s="131"/>
      <c r="O160" s="131"/>
      <c r="P160" s="131"/>
      <c r="Q160" s="340"/>
      <c r="R160" s="134"/>
      <c r="S160" s="131"/>
      <c r="T160" s="131"/>
      <c r="U160" s="131"/>
      <c r="V160" s="131"/>
      <c r="W160" s="131"/>
      <c r="X160" s="131"/>
      <c r="Y160" s="131"/>
    </row>
    <row r="161" spans="2:25" ht="15" customHeight="1" x14ac:dyDescent="0.25">
      <c r="B161" s="131"/>
      <c r="C161" s="134"/>
      <c r="D161" s="131"/>
      <c r="E161" s="131"/>
      <c r="F161" s="131"/>
      <c r="G161" s="131"/>
      <c r="H161" s="131"/>
      <c r="I161" s="131"/>
      <c r="J161" s="131"/>
      <c r="K161" s="131"/>
      <c r="L161" s="131"/>
      <c r="M161" s="131"/>
      <c r="N161" s="131"/>
      <c r="O161" s="131"/>
      <c r="P161" s="131"/>
      <c r="Q161" s="340"/>
      <c r="R161" s="134"/>
      <c r="S161" s="131"/>
      <c r="T161" s="131"/>
      <c r="U161" s="131"/>
      <c r="V161" s="131"/>
      <c r="W161" s="131"/>
      <c r="X161" s="131"/>
      <c r="Y161" s="131"/>
    </row>
    <row r="162" spans="2:25" ht="15" customHeight="1" x14ac:dyDescent="0.25">
      <c r="B162" s="131"/>
      <c r="C162" s="134"/>
      <c r="D162" s="131"/>
      <c r="E162" s="131"/>
      <c r="F162" s="131"/>
      <c r="G162" s="131"/>
      <c r="H162" s="131"/>
      <c r="I162" s="131"/>
      <c r="J162" s="131"/>
      <c r="K162" s="131"/>
      <c r="L162" s="131"/>
      <c r="M162" s="131"/>
      <c r="N162" s="131"/>
      <c r="O162" s="131"/>
      <c r="P162" s="131"/>
      <c r="Q162" s="340"/>
      <c r="R162" s="134"/>
      <c r="S162" s="131"/>
      <c r="T162" s="131"/>
      <c r="U162" s="131"/>
      <c r="V162" s="131"/>
      <c r="W162" s="131"/>
      <c r="X162" s="131"/>
      <c r="Y162" s="131"/>
    </row>
    <row r="163" spans="2:25" ht="15" customHeight="1" x14ac:dyDescent="0.25">
      <c r="B163" s="131"/>
      <c r="C163" s="134"/>
      <c r="D163" s="131"/>
      <c r="E163" s="131"/>
      <c r="F163" s="131"/>
      <c r="G163" s="131"/>
      <c r="H163" s="131"/>
      <c r="I163" s="131"/>
      <c r="J163" s="131"/>
      <c r="K163" s="131"/>
      <c r="L163" s="131"/>
      <c r="M163" s="131"/>
      <c r="N163" s="131"/>
      <c r="O163" s="131"/>
      <c r="P163" s="131"/>
      <c r="Q163" s="340"/>
      <c r="R163" s="134"/>
      <c r="S163" s="131"/>
      <c r="T163" s="131"/>
      <c r="U163" s="131"/>
      <c r="V163" s="131"/>
      <c r="W163" s="131"/>
      <c r="X163" s="131"/>
      <c r="Y163" s="131"/>
    </row>
    <row r="164" spans="2:25" ht="15" customHeight="1" x14ac:dyDescent="0.25">
      <c r="B164" s="131"/>
      <c r="C164" s="134"/>
      <c r="D164" s="131"/>
      <c r="E164" s="131"/>
      <c r="F164" s="131"/>
      <c r="G164" s="131"/>
      <c r="H164" s="131"/>
      <c r="I164" s="131"/>
      <c r="J164" s="131"/>
      <c r="K164" s="131"/>
      <c r="L164" s="131"/>
      <c r="M164" s="131"/>
      <c r="N164" s="131"/>
      <c r="O164" s="131"/>
      <c r="P164" s="131"/>
      <c r="Q164" s="340"/>
      <c r="R164" s="134"/>
      <c r="S164" s="131"/>
      <c r="T164" s="131"/>
      <c r="U164" s="131"/>
      <c r="V164" s="131"/>
      <c r="W164" s="131"/>
      <c r="X164" s="131"/>
      <c r="Y164" s="131"/>
    </row>
    <row r="165" spans="2:25" ht="15" customHeight="1" x14ac:dyDescent="0.25">
      <c r="B165" s="131"/>
      <c r="C165" s="134"/>
      <c r="D165" s="131"/>
      <c r="E165" s="131"/>
      <c r="F165" s="131"/>
      <c r="G165" s="131"/>
      <c r="H165" s="131"/>
      <c r="I165" s="131"/>
      <c r="J165" s="131"/>
      <c r="K165" s="131"/>
      <c r="L165" s="131"/>
      <c r="M165" s="131"/>
      <c r="N165" s="131"/>
      <c r="O165" s="131"/>
      <c r="P165" s="131"/>
      <c r="Q165" s="340"/>
      <c r="R165" s="134"/>
      <c r="S165" s="131"/>
      <c r="T165" s="131"/>
      <c r="U165" s="131"/>
      <c r="V165" s="131"/>
      <c r="W165" s="131"/>
      <c r="X165" s="131"/>
      <c r="Y165" s="131"/>
    </row>
    <row r="166" spans="2:25" ht="15" customHeight="1" x14ac:dyDescent="0.25">
      <c r="B166" s="131"/>
      <c r="C166" s="134"/>
      <c r="D166" s="131"/>
      <c r="E166" s="131"/>
      <c r="F166" s="131"/>
      <c r="G166" s="131"/>
      <c r="H166" s="131"/>
      <c r="I166" s="131"/>
      <c r="J166" s="131"/>
      <c r="K166" s="131"/>
      <c r="L166" s="131"/>
      <c r="M166" s="131"/>
      <c r="N166" s="131"/>
      <c r="O166" s="131"/>
      <c r="P166" s="131"/>
      <c r="Q166" s="340"/>
      <c r="R166" s="134"/>
      <c r="S166" s="131"/>
      <c r="T166" s="131"/>
      <c r="U166" s="131"/>
      <c r="V166" s="131"/>
      <c r="W166" s="131"/>
      <c r="X166" s="131"/>
      <c r="Y166" s="131"/>
    </row>
    <row r="167" spans="2:25" ht="15" customHeight="1" x14ac:dyDescent="0.25">
      <c r="B167" s="131"/>
      <c r="C167" s="134"/>
      <c r="D167" s="131"/>
      <c r="E167" s="131"/>
      <c r="F167" s="131"/>
      <c r="G167" s="131"/>
      <c r="H167" s="131"/>
      <c r="I167" s="131"/>
      <c r="J167" s="131"/>
      <c r="K167" s="131"/>
      <c r="L167" s="131"/>
      <c r="M167" s="131"/>
      <c r="N167" s="131"/>
      <c r="O167" s="131"/>
      <c r="P167" s="131"/>
      <c r="Q167" s="340"/>
      <c r="R167" s="134"/>
      <c r="S167" s="131"/>
      <c r="T167" s="131"/>
      <c r="U167" s="131"/>
      <c r="V167" s="131"/>
      <c r="W167" s="131"/>
      <c r="X167" s="131"/>
      <c r="Y167" s="131"/>
    </row>
    <row r="168" spans="2:25" ht="15" customHeight="1" x14ac:dyDescent="0.25">
      <c r="B168" s="131"/>
      <c r="C168" s="134"/>
      <c r="D168" s="131"/>
      <c r="E168" s="131"/>
      <c r="F168" s="131"/>
      <c r="G168" s="131"/>
      <c r="H168" s="131"/>
      <c r="I168" s="131"/>
      <c r="J168" s="131"/>
      <c r="K168" s="131"/>
      <c r="L168" s="131"/>
      <c r="M168" s="131"/>
      <c r="N168" s="131"/>
      <c r="O168" s="131"/>
      <c r="P168" s="131"/>
      <c r="Q168" s="340"/>
      <c r="R168" s="134"/>
      <c r="S168" s="131"/>
      <c r="T168" s="131"/>
      <c r="U168" s="131"/>
      <c r="V168" s="131"/>
      <c r="W168" s="131"/>
      <c r="X168" s="131"/>
      <c r="Y168" s="131"/>
    </row>
    <row r="169" spans="2:25" ht="15" customHeight="1" x14ac:dyDescent="0.25">
      <c r="B169" s="131"/>
      <c r="C169" s="134"/>
      <c r="D169" s="131"/>
      <c r="E169" s="131"/>
      <c r="F169" s="131"/>
      <c r="G169" s="131"/>
      <c r="H169" s="131"/>
      <c r="I169" s="131"/>
      <c r="J169" s="131"/>
      <c r="K169" s="131"/>
      <c r="L169" s="131"/>
      <c r="M169" s="131"/>
      <c r="N169" s="131"/>
      <c r="O169" s="131"/>
      <c r="P169" s="131"/>
      <c r="Q169" s="340"/>
      <c r="R169" s="134"/>
      <c r="S169" s="131"/>
      <c r="T169" s="131"/>
      <c r="U169" s="131"/>
      <c r="V169" s="131"/>
      <c r="W169" s="131"/>
      <c r="X169" s="131"/>
      <c r="Y169" s="131"/>
    </row>
    <row r="170" spans="2:25" ht="15" customHeight="1" x14ac:dyDescent="0.25">
      <c r="B170" s="131"/>
      <c r="C170" s="134"/>
      <c r="D170" s="131"/>
      <c r="E170" s="131"/>
      <c r="F170" s="131"/>
      <c r="G170" s="131"/>
      <c r="H170" s="131"/>
      <c r="I170" s="131"/>
      <c r="J170" s="131"/>
      <c r="K170" s="131"/>
      <c r="L170" s="131"/>
      <c r="M170" s="131"/>
      <c r="N170" s="131"/>
      <c r="O170" s="131"/>
      <c r="P170" s="131"/>
      <c r="Q170" s="340"/>
      <c r="R170" s="134"/>
      <c r="S170" s="131"/>
      <c r="T170" s="131"/>
      <c r="U170" s="131"/>
      <c r="V170" s="131"/>
      <c r="W170" s="131"/>
      <c r="X170" s="131"/>
      <c r="Y170" s="131"/>
    </row>
    <row r="171" spans="2:25" ht="15" customHeight="1" x14ac:dyDescent="0.25">
      <c r="B171" s="131"/>
      <c r="C171" s="134"/>
      <c r="D171" s="131"/>
      <c r="E171" s="131"/>
      <c r="F171" s="131"/>
      <c r="G171" s="131"/>
      <c r="H171" s="131"/>
      <c r="I171" s="131"/>
      <c r="J171" s="131"/>
      <c r="K171" s="131"/>
      <c r="L171" s="131"/>
      <c r="M171" s="131"/>
      <c r="N171" s="131"/>
      <c r="O171" s="131"/>
      <c r="P171" s="131"/>
      <c r="Q171" s="340"/>
      <c r="R171" s="134"/>
      <c r="S171" s="131"/>
      <c r="T171" s="131"/>
      <c r="U171" s="131"/>
      <c r="V171" s="131"/>
      <c r="W171" s="131"/>
      <c r="X171" s="131"/>
      <c r="Y171" s="131"/>
    </row>
    <row r="172" spans="2:25" ht="15" customHeight="1" x14ac:dyDescent="0.25">
      <c r="B172" s="131"/>
      <c r="C172" s="134"/>
      <c r="D172" s="131"/>
      <c r="E172" s="131"/>
      <c r="F172" s="131"/>
      <c r="G172" s="131"/>
      <c r="H172" s="131"/>
      <c r="I172" s="131"/>
      <c r="J172" s="131"/>
      <c r="K172" s="131"/>
      <c r="L172" s="131"/>
      <c r="M172" s="131"/>
      <c r="N172" s="131"/>
      <c r="O172" s="131"/>
      <c r="P172" s="131"/>
      <c r="Q172" s="340"/>
      <c r="R172" s="134"/>
      <c r="S172" s="131"/>
      <c r="T172" s="131"/>
      <c r="U172" s="131"/>
      <c r="V172" s="131"/>
      <c r="W172" s="131"/>
      <c r="X172" s="131"/>
      <c r="Y172" s="131"/>
    </row>
    <row r="173" spans="2:25" ht="15" customHeight="1" x14ac:dyDescent="0.25">
      <c r="B173" s="131"/>
      <c r="C173" s="134"/>
      <c r="D173" s="131"/>
      <c r="E173" s="131"/>
      <c r="F173" s="131"/>
      <c r="G173" s="131"/>
      <c r="H173" s="131"/>
      <c r="I173" s="131"/>
      <c r="J173" s="131"/>
      <c r="K173" s="131"/>
      <c r="L173" s="131"/>
      <c r="M173" s="131"/>
      <c r="N173" s="131"/>
      <c r="O173" s="131"/>
      <c r="P173" s="131"/>
      <c r="Q173" s="340"/>
      <c r="R173" s="134"/>
      <c r="S173" s="131"/>
      <c r="T173" s="131"/>
      <c r="U173" s="131"/>
      <c r="V173" s="131"/>
      <c r="W173" s="131"/>
      <c r="X173" s="131"/>
      <c r="Y173" s="131"/>
    </row>
    <row r="174" spans="2:25" ht="15" customHeight="1" x14ac:dyDescent="0.25">
      <c r="B174" s="131"/>
      <c r="C174" s="134"/>
      <c r="D174" s="131"/>
      <c r="E174" s="131"/>
      <c r="F174" s="131"/>
      <c r="G174" s="131"/>
      <c r="H174" s="131"/>
      <c r="I174" s="131"/>
      <c r="J174" s="131"/>
      <c r="K174" s="131"/>
      <c r="L174" s="131"/>
      <c r="M174" s="131"/>
      <c r="N174" s="131"/>
      <c r="O174" s="131"/>
      <c r="P174" s="131"/>
      <c r="Q174" s="340"/>
      <c r="R174" s="134"/>
      <c r="S174" s="131"/>
      <c r="T174" s="131"/>
      <c r="U174" s="131"/>
      <c r="V174" s="131"/>
      <c r="W174" s="131"/>
      <c r="X174" s="131"/>
      <c r="Y174" s="131"/>
    </row>
    <row r="175" spans="2:25" ht="15" customHeight="1" x14ac:dyDescent="0.25">
      <c r="B175" s="131"/>
      <c r="C175" s="134"/>
      <c r="D175" s="131"/>
      <c r="E175" s="131"/>
      <c r="F175" s="131"/>
      <c r="G175" s="131"/>
      <c r="H175" s="131"/>
      <c r="I175" s="131"/>
      <c r="J175" s="131"/>
      <c r="K175" s="131"/>
      <c r="L175" s="131"/>
      <c r="M175" s="131"/>
      <c r="N175" s="131"/>
      <c r="O175" s="131"/>
      <c r="P175" s="131"/>
      <c r="Q175" s="340"/>
      <c r="R175" s="134"/>
      <c r="S175" s="131"/>
      <c r="T175" s="131"/>
      <c r="U175" s="131"/>
      <c r="V175" s="131"/>
      <c r="W175" s="131"/>
      <c r="X175" s="131"/>
      <c r="Y175" s="131"/>
    </row>
    <row r="176" spans="2:25" ht="15" customHeight="1" x14ac:dyDescent="0.25">
      <c r="B176" s="131"/>
      <c r="C176" s="134"/>
      <c r="D176" s="131"/>
      <c r="E176" s="131"/>
      <c r="F176" s="131"/>
      <c r="G176" s="131"/>
      <c r="H176" s="131"/>
      <c r="I176" s="131"/>
      <c r="J176" s="131"/>
      <c r="K176" s="131"/>
      <c r="L176" s="131"/>
      <c r="M176" s="131"/>
      <c r="N176" s="131"/>
      <c r="O176" s="131"/>
      <c r="P176" s="131"/>
      <c r="Q176" s="340"/>
      <c r="R176" s="134"/>
      <c r="S176" s="131"/>
      <c r="T176" s="131"/>
      <c r="U176" s="131"/>
      <c r="V176" s="131"/>
      <c r="W176" s="131"/>
      <c r="X176" s="131"/>
      <c r="Y176" s="131"/>
    </row>
    <row r="177" spans="2:25" ht="15" customHeight="1" x14ac:dyDescent="0.25">
      <c r="B177" s="131"/>
      <c r="C177" s="134"/>
      <c r="D177" s="131"/>
      <c r="E177" s="131"/>
      <c r="F177" s="131"/>
      <c r="G177" s="131"/>
      <c r="H177" s="131"/>
      <c r="I177" s="131"/>
      <c r="J177" s="131"/>
      <c r="K177" s="131"/>
      <c r="L177" s="131"/>
      <c r="M177" s="131"/>
      <c r="N177" s="131"/>
      <c r="O177" s="131"/>
      <c r="P177" s="131"/>
      <c r="Q177" s="340"/>
      <c r="R177" s="134"/>
      <c r="S177" s="131"/>
      <c r="T177" s="131"/>
      <c r="U177" s="131"/>
      <c r="V177" s="131"/>
      <c r="W177" s="131"/>
      <c r="X177" s="131"/>
      <c r="Y177" s="131"/>
    </row>
    <row r="178" spans="2:25" ht="15" customHeight="1" x14ac:dyDescent="0.25">
      <c r="B178" s="131"/>
      <c r="C178" s="134"/>
      <c r="D178" s="131"/>
      <c r="E178" s="131"/>
      <c r="F178" s="131"/>
      <c r="G178" s="131"/>
      <c r="H178" s="131"/>
      <c r="I178" s="131"/>
      <c r="J178" s="131"/>
      <c r="K178" s="131"/>
      <c r="L178" s="131"/>
      <c r="M178" s="131"/>
      <c r="N178" s="131"/>
      <c r="O178" s="131"/>
      <c r="P178" s="131"/>
      <c r="Q178" s="340"/>
      <c r="R178" s="134"/>
      <c r="S178" s="131"/>
      <c r="T178" s="131"/>
      <c r="U178" s="131"/>
      <c r="V178" s="131"/>
      <c r="W178" s="131"/>
      <c r="X178" s="131"/>
      <c r="Y178" s="131"/>
    </row>
    <row r="179" spans="2:25" ht="15" customHeight="1" x14ac:dyDescent="0.25">
      <c r="B179" s="131"/>
      <c r="C179" s="134"/>
      <c r="D179" s="131"/>
      <c r="E179" s="131"/>
      <c r="F179" s="131"/>
      <c r="G179" s="131"/>
      <c r="H179" s="131"/>
      <c r="I179" s="131"/>
      <c r="J179" s="131"/>
      <c r="K179" s="131"/>
      <c r="L179" s="131"/>
      <c r="M179" s="131"/>
      <c r="N179" s="131"/>
      <c r="O179" s="131"/>
      <c r="P179" s="131"/>
      <c r="Q179" s="340"/>
      <c r="R179" s="134"/>
      <c r="S179" s="131"/>
      <c r="T179" s="131"/>
      <c r="U179" s="131"/>
      <c r="V179" s="131"/>
      <c r="W179" s="131"/>
      <c r="X179" s="131"/>
      <c r="Y179" s="131"/>
    </row>
    <row r="180" spans="2:25" ht="15" customHeight="1" x14ac:dyDescent="0.25">
      <c r="B180" s="131"/>
      <c r="C180" s="134"/>
      <c r="D180" s="131"/>
      <c r="E180" s="131"/>
      <c r="F180" s="131"/>
      <c r="G180" s="131"/>
      <c r="H180" s="131"/>
      <c r="I180" s="131"/>
      <c r="J180" s="131"/>
      <c r="K180" s="131"/>
      <c r="L180" s="131"/>
      <c r="M180" s="131"/>
      <c r="N180" s="131"/>
      <c r="O180" s="131"/>
      <c r="P180" s="131"/>
      <c r="Q180" s="340"/>
      <c r="R180" s="134"/>
      <c r="S180" s="131"/>
      <c r="T180" s="131"/>
      <c r="U180" s="131"/>
      <c r="V180" s="131"/>
      <c r="W180" s="131"/>
      <c r="X180" s="131"/>
      <c r="Y180" s="131"/>
    </row>
    <row r="181" spans="2:25" ht="15" customHeight="1" x14ac:dyDescent="0.25">
      <c r="B181" s="131"/>
      <c r="C181" s="134"/>
      <c r="D181" s="131"/>
      <c r="E181" s="131"/>
      <c r="F181" s="131"/>
      <c r="G181" s="131"/>
      <c r="H181" s="131"/>
      <c r="I181" s="131"/>
      <c r="J181" s="131"/>
      <c r="K181" s="131"/>
      <c r="L181" s="131"/>
      <c r="M181" s="131"/>
      <c r="N181" s="131"/>
      <c r="O181" s="131"/>
      <c r="P181" s="131"/>
      <c r="Q181" s="340"/>
      <c r="R181" s="134"/>
      <c r="S181" s="131"/>
      <c r="T181" s="131"/>
      <c r="U181" s="131"/>
      <c r="V181" s="131"/>
      <c r="W181" s="131"/>
      <c r="X181" s="131"/>
      <c r="Y181" s="131"/>
    </row>
    <row r="182" spans="2:25" ht="15" customHeight="1" x14ac:dyDescent="0.25">
      <c r="B182" s="131"/>
      <c r="C182" s="134"/>
      <c r="D182" s="131"/>
      <c r="E182" s="131"/>
      <c r="F182" s="131"/>
      <c r="G182" s="131"/>
      <c r="H182" s="131"/>
      <c r="I182" s="131"/>
      <c r="J182" s="131"/>
      <c r="K182" s="131"/>
      <c r="L182" s="131"/>
      <c r="M182" s="131"/>
      <c r="N182" s="131"/>
      <c r="O182" s="131"/>
      <c r="P182" s="131"/>
      <c r="Q182" s="340"/>
      <c r="R182" s="134"/>
      <c r="S182" s="131"/>
      <c r="T182" s="131"/>
      <c r="U182" s="131"/>
      <c r="V182" s="131"/>
      <c r="W182" s="131"/>
      <c r="X182" s="131"/>
      <c r="Y182" s="131"/>
    </row>
    <row r="183" spans="2:25" ht="15" customHeight="1" x14ac:dyDescent="0.25">
      <c r="B183" s="131"/>
      <c r="C183" s="134"/>
      <c r="D183" s="131"/>
      <c r="E183" s="131"/>
      <c r="F183" s="131"/>
      <c r="G183" s="131"/>
      <c r="H183" s="131"/>
      <c r="I183" s="131"/>
      <c r="J183" s="131"/>
      <c r="K183" s="131"/>
      <c r="L183" s="131"/>
      <c r="M183" s="131"/>
      <c r="N183" s="131"/>
      <c r="O183" s="131"/>
      <c r="P183" s="131"/>
      <c r="Q183" s="340"/>
      <c r="R183" s="134"/>
      <c r="S183" s="131"/>
      <c r="T183" s="131"/>
      <c r="U183" s="131"/>
      <c r="V183" s="131"/>
      <c r="W183" s="131"/>
      <c r="X183" s="131"/>
      <c r="Y183" s="131"/>
    </row>
    <row r="184" spans="2:25" ht="15" customHeight="1" x14ac:dyDescent="0.25">
      <c r="B184" s="131"/>
      <c r="C184" s="134"/>
      <c r="D184" s="131"/>
      <c r="E184" s="131"/>
      <c r="F184" s="131"/>
      <c r="G184" s="131"/>
      <c r="H184" s="131"/>
      <c r="I184" s="131"/>
      <c r="J184" s="131"/>
      <c r="K184" s="131"/>
      <c r="L184" s="131"/>
      <c r="M184" s="131"/>
      <c r="N184" s="131"/>
      <c r="O184" s="131"/>
      <c r="P184" s="131"/>
      <c r="Q184" s="340"/>
      <c r="R184" s="134"/>
      <c r="S184" s="131"/>
      <c r="T184" s="131"/>
      <c r="U184" s="131"/>
      <c r="V184" s="131"/>
      <c r="W184" s="131"/>
      <c r="X184" s="131"/>
      <c r="Y184" s="131"/>
    </row>
    <row r="185" spans="2:25" ht="15" customHeight="1" x14ac:dyDescent="0.25">
      <c r="B185" s="131"/>
      <c r="C185" s="134"/>
      <c r="D185" s="131"/>
      <c r="E185" s="131"/>
      <c r="F185" s="131"/>
      <c r="G185" s="131"/>
      <c r="H185" s="131"/>
      <c r="I185" s="131"/>
      <c r="J185" s="131"/>
      <c r="K185" s="131"/>
      <c r="L185" s="131"/>
      <c r="M185" s="131"/>
      <c r="N185" s="131"/>
      <c r="O185" s="131"/>
      <c r="P185" s="131"/>
      <c r="Q185" s="340"/>
      <c r="R185" s="134"/>
      <c r="S185" s="131"/>
      <c r="T185" s="131"/>
      <c r="U185" s="131"/>
      <c r="V185" s="131"/>
      <c r="W185" s="131"/>
      <c r="X185" s="131"/>
      <c r="Y185" s="131"/>
    </row>
    <row r="186" spans="2:25" ht="15" customHeight="1" x14ac:dyDescent="0.25">
      <c r="B186" s="131"/>
      <c r="C186" s="134"/>
      <c r="D186" s="131"/>
      <c r="E186" s="131"/>
      <c r="F186" s="131"/>
      <c r="G186" s="131"/>
      <c r="H186" s="131"/>
      <c r="I186" s="131"/>
      <c r="J186" s="131"/>
      <c r="K186" s="131"/>
      <c r="L186" s="131"/>
      <c r="M186" s="131"/>
      <c r="N186" s="131"/>
      <c r="O186" s="131"/>
      <c r="P186" s="131"/>
      <c r="Q186" s="340"/>
      <c r="R186" s="134"/>
      <c r="S186" s="131"/>
      <c r="T186" s="131"/>
      <c r="U186" s="131"/>
      <c r="V186" s="131"/>
      <c r="W186" s="131"/>
      <c r="X186" s="131"/>
      <c r="Y186" s="131"/>
    </row>
    <row r="187" spans="2:25" ht="15" customHeight="1" x14ac:dyDescent="0.25">
      <c r="B187" s="131"/>
      <c r="C187" s="134"/>
      <c r="D187" s="131"/>
      <c r="E187" s="131"/>
      <c r="F187" s="131"/>
      <c r="G187" s="131"/>
      <c r="H187" s="131"/>
      <c r="I187" s="131"/>
      <c r="J187" s="131"/>
      <c r="K187" s="131"/>
      <c r="L187" s="131"/>
      <c r="M187" s="131"/>
      <c r="N187" s="131"/>
      <c r="O187" s="131"/>
      <c r="P187" s="131"/>
      <c r="Q187" s="340"/>
      <c r="R187" s="134"/>
      <c r="S187" s="131"/>
      <c r="T187" s="131"/>
      <c r="U187" s="131"/>
      <c r="V187" s="131"/>
      <c r="W187" s="131"/>
      <c r="X187" s="131"/>
      <c r="Y187" s="131"/>
    </row>
    <row r="188" spans="2:25" ht="15" customHeight="1" x14ac:dyDescent="0.25">
      <c r="B188" s="131"/>
      <c r="C188" s="134"/>
      <c r="D188" s="131"/>
      <c r="E188" s="131"/>
      <c r="F188" s="131"/>
      <c r="G188" s="131"/>
      <c r="H188" s="131"/>
      <c r="I188" s="131"/>
      <c r="J188" s="131"/>
      <c r="K188" s="131"/>
      <c r="L188" s="131"/>
      <c r="M188" s="131"/>
      <c r="N188" s="131"/>
      <c r="O188" s="131"/>
      <c r="P188" s="131"/>
      <c r="Q188" s="340"/>
      <c r="R188" s="134"/>
      <c r="S188" s="131"/>
      <c r="T188" s="131"/>
      <c r="U188" s="131"/>
      <c r="V188" s="131"/>
      <c r="W188" s="131"/>
      <c r="X188" s="131"/>
      <c r="Y188" s="131"/>
    </row>
    <row r="189" spans="2:25" ht="15" customHeight="1" x14ac:dyDescent="0.25">
      <c r="B189" s="131"/>
      <c r="C189" s="134"/>
      <c r="D189" s="131"/>
      <c r="E189" s="131"/>
      <c r="F189" s="131"/>
      <c r="G189" s="131"/>
      <c r="H189" s="131"/>
      <c r="I189" s="131"/>
      <c r="J189" s="131"/>
      <c r="K189" s="131"/>
      <c r="L189" s="131"/>
      <c r="M189" s="131"/>
      <c r="N189" s="131"/>
      <c r="O189" s="131"/>
      <c r="P189" s="131"/>
      <c r="Q189" s="340"/>
      <c r="R189" s="134"/>
      <c r="S189" s="131"/>
      <c r="T189" s="131"/>
      <c r="U189" s="131"/>
      <c r="V189" s="131"/>
      <c r="W189" s="131"/>
      <c r="X189" s="131"/>
      <c r="Y189" s="131"/>
    </row>
    <row r="190" spans="2:25" ht="15" customHeight="1" x14ac:dyDescent="0.25">
      <c r="B190" s="131"/>
      <c r="C190" s="134"/>
      <c r="D190" s="131"/>
      <c r="E190" s="131"/>
      <c r="F190" s="131"/>
      <c r="G190" s="131"/>
      <c r="H190" s="131"/>
      <c r="I190" s="131"/>
      <c r="J190" s="131"/>
      <c r="K190" s="131"/>
      <c r="L190" s="131"/>
      <c r="M190" s="131"/>
      <c r="N190" s="131"/>
      <c r="O190" s="131"/>
      <c r="P190" s="131"/>
      <c r="Q190" s="340"/>
      <c r="R190" s="134"/>
      <c r="S190" s="131"/>
      <c r="T190" s="131"/>
      <c r="U190" s="131"/>
      <c r="V190" s="131"/>
      <c r="W190" s="131"/>
      <c r="X190" s="131"/>
      <c r="Y190" s="131"/>
    </row>
    <row r="191" spans="2:25" ht="15" customHeight="1" x14ac:dyDescent="0.25">
      <c r="B191" s="131"/>
      <c r="C191" s="134"/>
      <c r="D191" s="131"/>
      <c r="E191" s="131"/>
      <c r="F191" s="131"/>
      <c r="G191" s="131"/>
      <c r="H191" s="131"/>
      <c r="I191" s="131"/>
      <c r="J191" s="131"/>
      <c r="K191" s="131"/>
      <c r="L191" s="131"/>
      <c r="M191" s="131"/>
      <c r="N191" s="131"/>
      <c r="O191" s="131"/>
      <c r="P191" s="131"/>
      <c r="Q191" s="340"/>
      <c r="R191" s="134"/>
      <c r="S191" s="131"/>
      <c r="T191" s="131"/>
      <c r="U191" s="131"/>
      <c r="V191" s="131"/>
      <c r="W191" s="131"/>
      <c r="X191" s="131"/>
      <c r="Y191" s="131"/>
    </row>
    <row r="192" spans="2:25" ht="15" customHeight="1" x14ac:dyDescent="0.25">
      <c r="B192" s="131"/>
      <c r="C192" s="134"/>
      <c r="D192" s="131"/>
      <c r="E192" s="131"/>
      <c r="F192" s="131"/>
      <c r="G192" s="131"/>
      <c r="H192" s="131"/>
      <c r="I192" s="131"/>
      <c r="J192" s="131"/>
      <c r="K192" s="131"/>
      <c r="L192" s="131"/>
      <c r="M192" s="131"/>
      <c r="N192" s="131"/>
      <c r="O192" s="131"/>
      <c r="P192" s="131"/>
      <c r="Q192" s="340"/>
      <c r="R192" s="134"/>
      <c r="S192" s="131"/>
      <c r="T192" s="131"/>
      <c r="U192" s="131"/>
      <c r="V192" s="131"/>
      <c r="W192" s="131"/>
      <c r="X192" s="131"/>
      <c r="Y192" s="131"/>
    </row>
    <row r="193" spans="2:25" ht="15" customHeight="1" x14ac:dyDescent="0.25">
      <c r="B193" s="135"/>
      <c r="C193" s="134"/>
      <c r="D193" s="131"/>
      <c r="E193" s="131"/>
      <c r="F193" s="131"/>
      <c r="G193" s="131"/>
      <c r="H193" s="131"/>
      <c r="I193" s="131"/>
      <c r="J193" s="131"/>
      <c r="K193" s="131"/>
      <c r="L193" s="131"/>
      <c r="M193" s="131"/>
      <c r="N193" s="131"/>
      <c r="O193" s="131"/>
      <c r="P193" s="131"/>
      <c r="Q193" s="340"/>
      <c r="R193" s="134"/>
      <c r="S193" s="131"/>
      <c r="T193" s="131"/>
      <c r="U193" s="131"/>
      <c r="V193" s="131"/>
      <c r="W193" s="131"/>
      <c r="X193" s="131"/>
      <c r="Y193" s="131"/>
    </row>
    <row r="194" spans="2:25" ht="15" customHeight="1" x14ac:dyDescent="0.25">
      <c r="B194" s="135"/>
      <c r="C194" s="134"/>
      <c r="D194" s="131"/>
      <c r="E194" s="131"/>
      <c r="F194" s="131"/>
      <c r="G194" s="131"/>
      <c r="H194" s="131"/>
      <c r="I194" s="131"/>
      <c r="J194" s="131"/>
      <c r="K194" s="131"/>
      <c r="L194" s="131"/>
      <c r="M194" s="131"/>
      <c r="N194" s="131"/>
      <c r="O194" s="131"/>
      <c r="P194" s="131"/>
      <c r="Q194" s="340"/>
      <c r="R194" s="134"/>
      <c r="S194" s="131"/>
      <c r="T194" s="131"/>
      <c r="U194" s="131"/>
      <c r="V194" s="131"/>
      <c r="W194" s="131"/>
      <c r="X194" s="131"/>
      <c r="Y194" s="131"/>
    </row>
    <row r="195" spans="2:25" ht="15" customHeight="1" x14ac:dyDescent="0.25">
      <c r="B195" s="135"/>
      <c r="C195" s="134"/>
      <c r="D195" s="131"/>
      <c r="E195" s="131"/>
      <c r="F195" s="131"/>
      <c r="G195" s="131"/>
      <c r="H195" s="131"/>
      <c r="I195" s="131"/>
      <c r="J195" s="131"/>
      <c r="K195" s="131"/>
      <c r="L195" s="131"/>
      <c r="M195" s="131"/>
      <c r="N195" s="131"/>
      <c r="O195" s="131"/>
      <c r="P195" s="131"/>
      <c r="Q195" s="340"/>
      <c r="R195" s="134"/>
      <c r="S195" s="131"/>
      <c r="T195" s="131"/>
      <c r="U195" s="131"/>
      <c r="V195" s="131"/>
      <c r="W195" s="131"/>
      <c r="X195" s="131"/>
      <c r="Y195" s="131"/>
    </row>
    <row r="196" spans="2:25" ht="15" customHeight="1" x14ac:dyDescent="0.25">
      <c r="B196" s="135"/>
      <c r="C196" s="134"/>
      <c r="D196" s="131"/>
      <c r="E196" s="131"/>
      <c r="F196" s="131"/>
      <c r="G196" s="131"/>
      <c r="H196" s="131"/>
      <c r="I196" s="131"/>
      <c r="J196" s="131"/>
      <c r="K196" s="131"/>
      <c r="L196" s="131"/>
      <c r="M196" s="131"/>
      <c r="N196" s="131"/>
      <c r="O196" s="131"/>
      <c r="P196" s="131"/>
      <c r="Q196" s="340"/>
      <c r="R196" s="134"/>
      <c r="S196" s="131"/>
      <c r="T196" s="131"/>
      <c r="U196" s="131"/>
      <c r="V196" s="131"/>
      <c r="W196" s="131"/>
      <c r="X196" s="131"/>
      <c r="Y196" s="131"/>
    </row>
    <row r="197" spans="2:25" ht="15" customHeight="1" x14ac:dyDescent="0.25">
      <c r="B197" s="135"/>
      <c r="C197" s="134"/>
      <c r="D197" s="131"/>
      <c r="E197" s="131"/>
      <c r="F197" s="131"/>
      <c r="G197" s="131"/>
      <c r="H197" s="131"/>
      <c r="I197" s="131"/>
      <c r="J197" s="131"/>
      <c r="K197" s="131"/>
      <c r="L197" s="131"/>
      <c r="M197" s="131"/>
      <c r="N197" s="131"/>
      <c r="O197" s="131"/>
      <c r="P197" s="131"/>
      <c r="Q197" s="340"/>
      <c r="R197" s="134"/>
      <c r="S197" s="131"/>
      <c r="T197" s="131"/>
      <c r="U197" s="131"/>
      <c r="V197" s="131"/>
      <c r="W197" s="131"/>
      <c r="X197" s="131"/>
      <c r="Y197" s="131"/>
    </row>
    <row r="198" spans="2:25" ht="15" customHeight="1" x14ac:dyDescent="0.25">
      <c r="B198" s="135"/>
      <c r="C198" s="134"/>
      <c r="D198" s="131"/>
      <c r="E198" s="131"/>
      <c r="F198" s="131"/>
      <c r="G198" s="131"/>
      <c r="H198" s="131"/>
      <c r="I198" s="131"/>
      <c r="J198" s="131"/>
      <c r="K198" s="131"/>
      <c r="L198" s="131"/>
      <c r="M198" s="131"/>
      <c r="N198" s="131"/>
      <c r="O198" s="131"/>
      <c r="P198" s="131"/>
      <c r="Q198" s="340"/>
      <c r="R198" s="134"/>
      <c r="S198" s="131"/>
      <c r="T198" s="131"/>
      <c r="U198" s="131"/>
      <c r="V198" s="131"/>
      <c r="W198" s="131"/>
      <c r="X198" s="131"/>
      <c r="Y198" s="131"/>
    </row>
    <row r="199" spans="2:25" ht="15" customHeight="1" x14ac:dyDescent="0.25">
      <c r="B199" s="135"/>
      <c r="C199" s="134"/>
      <c r="D199" s="131"/>
      <c r="E199" s="131"/>
      <c r="F199" s="131"/>
      <c r="G199" s="131"/>
      <c r="H199" s="131"/>
      <c r="I199" s="131"/>
      <c r="J199" s="131"/>
      <c r="K199" s="131"/>
      <c r="L199" s="131"/>
      <c r="M199" s="131"/>
      <c r="N199" s="131"/>
      <c r="O199" s="131"/>
      <c r="P199" s="131"/>
      <c r="Q199" s="340"/>
      <c r="R199" s="134"/>
      <c r="S199" s="131"/>
      <c r="T199" s="131"/>
      <c r="U199" s="131"/>
      <c r="V199" s="131"/>
      <c r="W199" s="131"/>
      <c r="X199" s="131"/>
      <c r="Y199" s="131"/>
    </row>
    <row r="200" spans="2:25" ht="15" customHeight="1" x14ac:dyDescent="0.25">
      <c r="B200" s="135"/>
      <c r="C200" s="134"/>
      <c r="D200" s="131"/>
      <c r="E200" s="131"/>
      <c r="F200" s="131"/>
      <c r="G200" s="131"/>
      <c r="H200" s="131"/>
      <c r="I200" s="131"/>
      <c r="J200" s="131"/>
      <c r="K200" s="131"/>
      <c r="L200" s="131"/>
      <c r="M200" s="131"/>
      <c r="N200" s="131"/>
      <c r="O200" s="131"/>
      <c r="P200" s="131"/>
      <c r="Q200" s="340"/>
      <c r="R200" s="134"/>
      <c r="S200" s="131"/>
      <c r="T200" s="131"/>
      <c r="U200" s="131"/>
      <c r="V200" s="131"/>
      <c r="W200" s="131"/>
      <c r="X200" s="131"/>
      <c r="Y200" s="131"/>
    </row>
    <row r="201" spans="2:25" ht="15" customHeight="1" x14ac:dyDescent="0.25">
      <c r="B201" s="135"/>
      <c r="C201" s="134"/>
      <c r="D201" s="131"/>
      <c r="E201" s="131"/>
      <c r="F201" s="131"/>
      <c r="G201" s="131"/>
      <c r="H201" s="131"/>
      <c r="I201" s="131"/>
      <c r="J201" s="131"/>
      <c r="K201" s="131"/>
      <c r="L201" s="131"/>
      <c r="M201" s="131"/>
      <c r="N201" s="131"/>
      <c r="O201" s="131"/>
      <c r="P201" s="131"/>
      <c r="Q201" s="340"/>
      <c r="R201" s="134"/>
      <c r="S201" s="131"/>
      <c r="T201" s="131"/>
      <c r="U201" s="131"/>
      <c r="V201" s="131"/>
      <c r="W201" s="131"/>
      <c r="X201" s="131"/>
      <c r="Y201" s="131"/>
    </row>
    <row r="202" spans="2:25" ht="15" customHeight="1" x14ac:dyDescent="0.25">
      <c r="B202" s="135"/>
      <c r="C202" s="134"/>
      <c r="D202" s="131"/>
      <c r="E202" s="131"/>
      <c r="F202" s="131"/>
      <c r="G202" s="131"/>
      <c r="H202" s="131"/>
      <c r="I202" s="131"/>
      <c r="J202" s="131"/>
      <c r="K202" s="131"/>
      <c r="L202" s="131"/>
      <c r="M202" s="131"/>
      <c r="N202" s="131"/>
      <c r="O202" s="131"/>
      <c r="P202" s="131"/>
      <c r="Q202" s="340"/>
      <c r="R202" s="134"/>
      <c r="S202" s="131"/>
      <c r="T202" s="131"/>
      <c r="U202" s="131"/>
      <c r="V202" s="131"/>
      <c r="W202" s="131"/>
      <c r="X202" s="131"/>
      <c r="Y202" s="131"/>
    </row>
    <row r="203" spans="2:25" ht="15" customHeight="1" x14ac:dyDescent="0.25">
      <c r="B203" s="135"/>
      <c r="C203" s="134"/>
      <c r="D203" s="131"/>
      <c r="E203" s="131"/>
      <c r="F203" s="131"/>
      <c r="G203" s="131"/>
      <c r="H203" s="131"/>
      <c r="I203" s="131"/>
      <c r="J203" s="131"/>
      <c r="K203" s="131"/>
      <c r="L203" s="131"/>
      <c r="M203" s="131"/>
      <c r="N203" s="131"/>
      <c r="O203" s="131"/>
      <c r="P203" s="131"/>
      <c r="Q203" s="340"/>
      <c r="R203" s="134"/>
      <c r="S203" s="131"/>
      <c r="T203" s="131"/>
      <c r="U203" s="131"/>
      <c r="V203" s="131"/>
      <c r="W203" s="131"/>
      <c r="X203" s="131"/>
      <c r="Y203" s="131"/>
    </row>
    <row r="204" spans="2:25" ht="15" customHeight="1" x14ac:dyDescent="0.25">
      <c r="B204" s="133"/>
      <c r="C204" s="132"/>
      <c r="D204" s="144"/>
      <c r="E204" s="131"/>
      <c r="F204" s="131"/>
      <c r="G204" s="131"/>
      <c r="H204" s="131"/>
      <c r="I204" s="131"/>
      <c r="J204" s="131"/>
      <c r="K204" s="131"/>
      <c r="L204" s="131"/>
      <c r="M204" s="131"/>
      <c r="N204" s="131"/>
      <c r="O204" s="131"/>
      <c r="P204" s="131"/>
      <c r="Q204" s="340"/>
      <c r="R204" s="132"/>
      <c r="S204" s="131"/>
      <c r="T204" s="131"/>
      <c r="U204" s="131"/>
      <c r="V204" s="131"/>
      <c r="W204" s="131"/>
      <c r="X204" s="131"/>
      <c r="Y204" s="131"/>
    </row>
    <row r="205" spans="2:25" ht="15" customHeight="1" x14ac:dyDescent="0.25">
      <c r="B205" s="133"/>
      <c r="C205" s="132"/>
      <c r="D205" s="144"/>
      <c r="E205" s="131"/>
      <c r="F205" s="131"/>
      <c r="G205" s="131"/>
      <c r="H205" s="131"/>
      <c r="I205" s="131"/>
      <c r="J205" s="131"/>
      <c r="K205" s="131"/>
      <c r="L205" s="131"/>
      <c r="M205" s="131"/>
      <c r="N205" s="131"/>
      <c r="O205" s="131"/>
      <c r="P205" s="131"/>
      <c r="Q205" s="340"/>
      <c r="R205" s="132"/>
      <c r="S205" s="131"/>
      <c r="T205" s="131"/>
      <c r="U205" s="131"/>
      <c r="V205" s="131"/>
      <c r="W205" s="131"/>
      <c r="X205" s="131"/>
      <c r="Y205" s="131"/>
    </row>
    <row r="206" spans="2:25" ht="15" customHeight="1" x14ac:dyDescent="0.25">
      <c r="B206" s="130"/>
      <c r="C206" s="129"/>
      <c r="D206" s="143"/>
      <c r="E206" s="128"/>
      <c r="F206" s="128"/>
      <c r="G206" s="128"/>
      <c r="H206" s="128"/>
      <c r="I206" s="128"/>
      <c r="J206" s="128"/>
      <c r="K206" s="128"/>
      <c r="L206" s="128"/>
      <c r="M206" s="128"/>
      <c r="N206" s="128"/>
      <c r="O206" s="128"/>
      <c r="P206" s="128"/>
      <c r="Q206" s="342"/>
      <c r="R206" s="129"/>
      <c r="S206" s="128"/>
      <c r="T206" s="128"/>
      <c r="U206" s="128"/>
      <c r="V206" s="128"/>
      <c r="W206" s="128"/>
      <c r="X206" s="128"/>
      <c r="Y206" s="128"/>
    </row>
  </sheetData>
  <mergeCells count="7">
    <mergeCell ref="B14:O14"/>
    <mergeCell ref="D15:E15"/>
    <mergeCell ref="F15:G15"/>
    <mergeCell ref="H15:I15"/>
    <mergeCell ref="J15:K15"/>
    <mergeCell ref="L15:M15"/>
    <mergeCell ref="N15:O15"/>
  </mergeCells>
  <hyperlinks>
    <hyperlink ref="B11" location="índice!D7" display="SERIE: TOTAL DE PERSONAS OCUPADAS FORMALES E INFORMALES POR CATEGORÍA EN LA OCUPACIÓN /1 SEGÚN TRIMESTRE" xr:uid="{EFE16847-891C-4DE6-843A-6DB9912FCBC8}"/>
  </hyperlink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C983D-72B8-4C18-BC3B-D20BD1898B2B}">
  <sheetPr>
    <tabColor rgb="FFE9617B"/>
  </sheetPr>
  <dimension ref="A2:EI201"/>
  <sheetViews>
    <sheetView topLeftCell="CR5" workbookViewId="0">
      <selection activeCell="CS11" sqref="CS11"/>
    </sheetView>
    <sheetView topLeftCell="CR1" workbookViewId="1"/>
  </sheetViews>
  <sheetFormatPr baseColWidth="10" defaultColWidth="10.7109375" defaultRowHeight="12.75" x14ac:dyDescent="0.25"/>
  <cols>
    <col min="1" max="1" width="25.28515625" style="98" hidden="1" customWidth="1" collapsed="1"/>
    <col min="2" max="2" width="9.7109375" style="98" hidden="1" customWidth="1" collapsed="1"/>
    <col min="3" max="3" width="5.7109375" style="147" hidden="1" customWidth="1" collapsed="1"/>
    <col min="4" max="4" width="0" style="146" hidden="1" customWidth="1" collapsed="1"/>
    <col min="5" max="5" width="5.7109375" style="146" hidden="1" customWidth="1" collapsed="1"/>
    <col min="6" max="6" width="0" style="146" hidden="1" customWidth="1" collapsed="1"/>
    <col min="7" max="7" width="5.7109375" style="146" hidden="1" customWidth="1" collapsed="1"/>
    <col min="8" max="8" width="0" style="146" hidden="1" customWidth="1" collapsed="1"/>
    <col min="9" max="9" width="5.7109375" style="146" hidden="1" customWidth="1" collapsed="1"/>
    <col min="10" max="10" width="0" style="146" hidden="1" customWidth="1" collapsed="1"/>
    <col min="11" max="11" width="5.7109375" style="146" hidden="1" customWidth="1" collapsed="1"/>
    <col min="12" max="12" width="0" style="146" hidden="1" customWidth="1" collapsed="1"/>
    <col min="13" max="13" width="5.7109375" style="146" hidden="1" customWidth="1" collapsed="1"/>
    <col min="14" max="14" width="0" style="146" hidden="1" customWidth="1" collapsed="1"/>
    <col min="15" max="15" width="5.7109375" style="146" hidden="1" customWidth="1" collapsed="1"/>
    <col min="16" max="16" width="0" style="97" hidden="1" customWidth="1" collapsed="1"/>
    <col min="17" max="17" width="5.7109375" style="146" hidden="1" customWidth="1" collapsed="1"/>
    <col min="18" max="18" width="0" style="97" hidden="1" customWidth="1" collapsed="1"/>
    <col min="19" max="19" width="5.7109375" style="146" hidden="1" customWidth="1" collapsed="1"/>
    <col min="20" max="95" width="0" style="97" hidden="1" customWidth="1" collapsed="1"/>
    <col min="96" max="96" width="6" style="97" customWidth="1"/>
    <col min="97" max="117" width="10.7109375" style="97" collapsed="1"/>
    <col min="118" max="139" width="10.7109375" style="97"/>
    <col min="140" max="16384" width="10.7109375" style="97" collapsed="1"/>
  </cols>
  <sheetData>
    <row r="2" spans="1:117" ht="15" x14ac:dyDescent="0.25">
      <c r="CS2" s="278" t="s">
        <v>522</v>
      </c>
    </row>
    <row r="5" spans="1:117" ht="261.60000000000002" customHeight="1" x14ac:dyDescent="0.25"/>
    <row r="9" spans="1:117" x14ac:dyDescent="0.25">
      <c r="CS9" s="321" t="s">
        <v>511</v>
      </c>
    </row>
    <row r="11" spans="1:117" s="98" customFormat="1" x14ac:dyDescent="0.25">
      <c r="A11" s="125" t="s">
        <v>280</v>
      </c>
      <c r="B11" s="124"/>
      <c r="C11" s="121"/>
      <c r="D11" s="121"/>
      <c r="E11" s="121"/>
      <c r="F11" s="121"/>
      <c r="G11" s="121"/>
      <c r="H11" s="121"/>
      <c r="I11" s="121"/>
      <c r="J11" s="121"/>
      <c r="K11" s="121"/>
      <c r="L11" s="121"/>
      <c r="M11" s="121"/>
      <c r="N11" s="121"/>
      <c r="O11" s="121"/>
      <c r="Q11" s="147"/>
      <c r="S11" s="147"/>
      <c r="CS11" s="258" t="s">
        <v>280</v>
      </c>
    </row>
    <row r="12" spans="1:117" x14ac:dyDescent="0.25">
      <c r="A12" s="123" t="s">
        <v>178</v>
      </c>
      <c r="B12" s="123"/>
      <c r="C12" s="121"/>
      <c r="D12" s="123"/>
      <c r="E12" s="121"/>
      <c r="F12" s="123"/>
      <c r="G12" s="121"/>
      <c r="H12" s="123"/>
      <c r="I12" s="121"/>
      <c r="J12" s="123"/>
      <c r="K12" s="121"/>
      <c r="L12" s="123"/>
      <c r="M12" s="121"/>
      <c r="N12" s="123"/>
      <c r="O12" s="121"/>
      <c r="CS12" s="259" t="s">
        <v>178</v>
      </c>
    </row>
    <row r="13" spans="1:117" x14ac:dyDescent="0.25">
      <c r="A13" s="122" t="s">
        <v>190</v>
      </c>
      <c r="B13" s="123"/>
      <c r="C13" s="121"/>
      <c r="D13" s="123"/>
      <c r="E13" s="121"/>
      <c r="F13" s="123"/>
      <c r="G13" s="121"/>
      <c r="H13" s="123"/>
      <c r="I13" s="121"/>
      <c r="J13" s="123"/>
      <c r="K13" s="121"/>
      <c r="L13" s="123"/>
      <c r="M13" s="121"/>
      <c r="N13" s="123"/>
      <c r="O13" s="121"/>
      <c r="CS13" s="260" t="s">
        <v>190</v>
      </c>
    </row>
    <row r="14" spans="1:117" x14ac:dyDescent="0.25">
      <c r="A14" s="122"/>
      <c r="B14" s="122"/>
      <c r="C14" s="164"/>
      <c r="D14" s="122"/>
      <c r="E14" s="164"/>
      <c r="F14" s="122"/>
      <c r="G14" s="164"/>
      <c r="H14" s="122"/>
      <c r="I14" s="164"/>
      <c r="J14" s="122"/>
      <c r="K14" s="164"/>
      <c r="L14" s="122"/>
      <c r="M14" s="164"/>
      <c r="N14" s="122"/>
      <c r="O14" s="164"/>
    </row>
    <row r="15" spans="1:117" s="116" customFormat="1" ht="68.25" hidden="1" customHeight="1" x14ac:dyDescent="0.25">
      <c r="A15" s="120" t="s">
        <v>6</v>
      </c>
      <c r="B15" s="119" t="s">
        <v>176</v>
      </c>
      <c r="C15" s="621" t="s">
        <v>205</v>
      </c>
      <c r="D15" s="621"/>
      <c r="E15" s="622" t="s">
        <v>279</v>
      </c>
      <c r="F15" s="622"/>
      <c r="G15" s="621" t="s">
        <v>278</v>
      </c>
      <c r="H15" s="621"/>
      <c r="I15" s="622" t="s">
        <v>277</v>
      </c>
      <c r="J15" s="622"/>
      <c r="K15" s="621" t="s">
        <v>276</v>
      </c>
      <c r="L15" s="621"/>
      <c r="M15" s="622" t="s">
        <v>275</v>
      </c>
      <c r="N15" s="622"/>
      <c r="O15" s="623" t="s">
        <v>274</v>
      </c>
      <c r="P15" s="623"/>
      <c r="Q15" s="624" t="s">
        <v>273</v>
      </c>
      <c r="R15" s="624"/>
      <c r="S15" s="623" t="s">
        <v>272</v>
      </c>
      <c r="T15" s="623"/>
      <c r="U15" s="624" t="s">
        <v>271</v>
      </c>
      <c r="V15" s="624"/>
      <c r="W15" s="623" t="s">
        <v>270</v>
      </c>
      <c r="X15" s="623"/>
      <c r="Y15" s="624" t="s">
        <v>269</v>
      </c>
      <c r="Z15" s="624"/>
      <c r="AA15" s="623" t="s">
        <v>268</v>
      </c>
      <c r="AB15" s="623"/>
      <c r="AC15" s="624" t="s">
        <v>267</v>
      </c>
      <c r="AD15" s="624"/>
      <c r="AE15" s="623" t="s">
        <v>266</v>
      </c>
      <c r="AF15" s="623"/>
      <c r="AG15" s="624" t="s">
        <v>265</v>
      </c>
      <c r="AH15" s="624"/>
      <c r="AI15" s="623" t="s">
        <v>264</v>
      </c>
      <c r="AJ15" s="623"/>
      <c r="AK15" s="624" t="s">
        <v>263</v>
      </c>
      <c r="AL15" s="624"/>
      <c r="AM15" s="623" t="s">
        <v>262</v>
      </c>
      <c r="AN15" s="623"/>
      <c r="AO15" s="624" t="s">
        <v>261</v>
      </c>
      <c r="AP15" s="624"/>
      <c r="AQ15" s="623" t="s">
        <v>260</v>
      </c>
      <c r="AR15" s="623"/>
      <c r="AS15" s="624" t="s">
        <v>259</v>
      </c>
      <c r="AT15" s="624"/>
      <c r="AU15" s="623" t="s">
        <v>258</v>
      </c>
      <c r="AV15" s="623"/>
      <c r="AW15" s="624" t="s">
        <v>189</v>
      </c>
      <c r="AX15" s="624"/>
      <c r="AY15" s="623" t="s">
        <v>257</v>
      </c>
      <c r="AZ15" s="623"/>
      <c r="BA15" s="624" t="s">
        <v>236</v>
      </c>
      <c r="BB15" s="624"/>
      <c r="BC15" s="623" t="s">
        <v>256</v>
      </c>
      <c r="BD15" s="623"/>
      <c r="BE15" s="624" t="s">
        <v>255</v>
      </c>
      <c r="BF15" s="624"/>
      <c r="BG15" s="623" t="s">
        <v>254</v>
      </c>
      <c r="BH15" s="623"/>
      <c r="BI15" s="624" t="s">
        <v>253</v>
      </c>
      <c r="BJ15" s="624"/>
      <c r="BK15" s="623" t="s">
        <v>252</v>
      </c>
      <c r="BL15" s="623"/>
      <c r="BM15" s="624" t="s">
        <v>251</v>
      </c>
      <c r="BN15" s="624"/>
      <c r="BO15" s="623" t="s">
        <v>250</v>
      </c>
      <c r="BP15" s="623"/>
      <c r="BQ15" s="624" t="s">
        <v>249</v>
      </c>
      <c r="BR15" s="624"/>
      <c r="BS15" s="623" t="s">
        <v>248</v>
      </c>
      <c r="BT15" s="623"/>
      <c r="BU15" s="624" t="s">
        <v>247</v>
      </c>
      <c r="BV15" s="624"/>
      <c r="BW15" s="623" t="s">
        <v>246</v>
      </c>
      <c r="BX15" s="623"/>
      <c r="BY15" s="624" t="s">
        <v>245</v>
      </c>
      <c r="BZ15" s="624"/>
      <c r="CA15" s="623" t="s">
        <v>244</v>
      </c>
      <c r="CB15" s="623"/>
      <c r="CC15" s="624" t="s">
        <v>243</v>
      </c>
      <c r="CD15" s="624"/>
      <c r="CE15" s="623" t="s">
        <v>242</v>
      </c>
      <c r="CF15" s="623"/>
      <c r="CG15" s="624" t="s">
        <v>241</v>
      </c>
      <c r="CH15" s="624"/>
      <c r="CI15" s="623" t="s">
        <v>240</v>
      </c>
      <c r="CJ15" s="623"/>
      <c r="CK15" s="624" t="s">
        <v>239</v>
      </c>
      <c r="CL15" s="624"/>
      <c r="CM15" s="623" t="s">
        <v>232</v>
      </c>
      <c r="CN15" s="623"/>
      <c r="CO15" s="624" t="s">
        <v>238</v>
      </c>
      <c r="CP15" s="624"/>
      <c r="CQ15" s="118" t="s">
        <v>189</v>
      </c>
      <c r="CR15" s="118"/>
      <c r="CS15" s="162" t="s">
        <v>215</v>
      </c>
      <c r="CT15" s="163" t="s">
        <v>236</v>
      </c>
      <c r="CU15" s="162" t="s">
        <v>220</v>
      </c>
      <c r="CV15" s="163" t="s">
        <v>228</v>
      </c>
      <c r="CW15" s="162" t="s">
        <v>222</v>
      </c>
      <c r="CX15" s="163" t="s">
        <v>216</v>
      </c>
      <c r="CY15" s="162" t="s">
        <v>217</v>
      </c>
      <c r="CZ15" s="163" t="s">
        <v>219</v>
      </c>
      <c r="DA15" s="162" t="s">
        <v>218</v>
      </c>
      <c r="DB15" s="163" t="s">
        <v>227</v>
      </c>
      <c r="DC15" s="162" t="s">
        <v>230</v>
      </c>
      <c r="DD15" s="163" t="s">
        <v>223</v>
      </c>
      <c r="DE15" s="162" t="s">
        <v>225</v>
      </c>
      <c r="DF15" s="163" t="s">
        <v>221</v>
      </c>
      <c r="DG15" s="162" t="s">
        <v>235</v>
      </c>
      <c r="DH15" s="163" t="s">
        <v>226</v>
      </c>
      <c r="DI15" s="162" t="s">
        <v>237</v>
      </c>
      <c r="DJ15" s="163" t="s">
        <v>233</v>
      </c>
      <c r="DK15" s="162" t="s">
        <v>214</v>
      </c>
      <c r="DL15" s="163" t="s">
        <v>213</v>
      </c>
      <c r="DM15" s="162" t="s">
        <v>232</v>
      </c>
    </row>
    <row r="16" spans="1:117" s="112" customFormat="1" hidden="1" x14ac:dyDescent="0.25">
      <c r="A16" s="161"/>
      <c r="B16" s="161"/>
      <c r="C16" s="160"/>
      <c r="D16" s="159">
        <f>+AVERAGE(D71:D95)</f>
        <v>6550.9455371673648</v>
      </c>
      <c r="E16" s="159"/>
      <c r="F16" s="159">
        <f>+AVERAGE(F71:F95)</f>
        <v>323.90792836813858</v>
      </c>
      <c r="G16" s="159"/>
      <c r="H16" s="159">
        <f>+AVERAGE(H71:H95)</f>
        <v>139.66150677679437</v>
      </c>
      <c r="I16" s="159"/>
      <c r="J16" s="159">
        <f>+AVERAGE(J71:J95)</f>
        <v>631.9719715292872</v>
      </c>
      <c r="K16" s="159"/>
      <c r="L16" s="159">
        <f>+AVERAGE(L71:L95)</f>
        <v>29.270891259903873</v>
      </c>
      <c r="M16" s="159"/>
      <c r="N16" s="159">
        <f>+AVERAGE(N71:N95)</f>
        <v>53.27608296122937</v>
      </c>
      <c r="O16" s="159"/>
      <c r="P16" s="159">
        <f>+AVERAGE(P71:P95)</f>
        <v>520.82937983995646</v>
      </c>
      <c r="Q16" s="159"/>
      <c r="R16" s="159">
        <f>+AVERAGE(R71:R95)</f>
        <v>1102.1788922916658</v>
      </c>
      <c r="S16" s="159"/>
      <c r="T16" s="159">
        <f>+AVERAGE(T71:T95)</f>
        <v>390.75357562787104</v>
      </c>
      <c r="U16" s="159"/>
      <c r="V16" s="159">
        <f>+AVERAGE(V71:V95)</f>
        <v>301.50793788551522</v>
      </c>
      <c r="W16" s="159"/>
      <c r="X16" s="159">
        <f>+AVERAGE(X71:X95)</f>
        <v>174.12016406084615</v>
      </c>
      <c r="Y16" s="159"/>
      <c r="Z16" s="159">
        <f>+AVERAGE(Z71:Z95)</f>
        <v>164.00551701720568</v>
      </c>
      <c r="AA16" s="159"/>
      <c r="AB16" s="159">
        <f>+AVERAGE(AB71:AB95)</f>
        <v>74.035788304222763</v>
      </c>
      <c r="AC16" s="159"/>
      <c r="AD16" s="159">
        <f>+AVERAGE(AD71:AD95)</f>
        <v>303.9255200139736</v>
      </c>
      <c r="AE16" s="159"/>
      <c r="AF16" s="159">
        <f>+AVERAGE(AF71:AF95)</f>
        <v>438.45629885658309</v>
      </c>
      <c r="AG16" s="159"/>
      <c r="AH16" s="159">
        <f>+AVERAGE(AH71:AH95)</f>
        <v>613.59116939112437</v>
      </c>
      <c r="AI16" s="159"/>
      <c r="AJ16" s="159">
        <f>+AVERAGE(AJ71:AJ95)</f>
        <v>514.11423044640969</v>
      </c>
      <c r="AK16" s="159"/>
      <c r="AL16" s="159">
        <f>+AVERAGE(AL71:AL95)</f>
        <v>414.68345378300182</v>
      </c>
      <c r="AM16" s="159"/>
      <c r="AN16" s="159">
        <f>+AVERAGE(AN71:AN95)</f>
        <v>59.598978049315122</v>
      </c>
      <c r="AO16" s="159"/>
      <c r="AP16" s="159">
        <f>+AVERAGE(AP71:AP95)</f>
        <v>159.61119032970095</v>
      </c>
      <c r="AQ16" s="159"/>
      <c r="AR16" s="159">
        <f>+AVERAGE(AR71:AR95)</f>
        <v>121.95730640018719</v>
      </c>
      <c r="AS16" s="159"/>
      <c r="AT16" s="159">
        <f>+AVERAGE(AT71:AT95)</f>
        <v>2.0463336100578635</v>
      </c>
      <c r="AU16" s="159"/>
      <c r="AV16" s="159">
        <f>+AVERAGE(AV71:AV95)</f>
        <v>17.441420364373467</v>
      </c>
      <c r="AW16" s="159"/>
      <c r="AX16" s="159">
        <f>+AVERAGE(AX71:AX95)</f>
        <v>2452.0779577470803</v>
      </c>
      <c r="AY16" s="159"/>
      <c r="AZ16" s="159">
        <f>+AVERAGE(AZ71:AZ95)</f>
        <v>220.21671456166007</v>
      </c>
      <c r="BA16" s="159"/>
      <c r="BB16" s="159">
        <f>+AVERAGE(BB71:BB95)</f>
        <v>5.4565415797449281</v>
      </c>
      <c r="BC16" s="159"/>
      <c r="BD16" s="159">
        <f>+AVERAGE(BD71:BD95)</f>
        <v>224.34382776364015</v>
      </c>
      <c r="BE16" s="159"/>
      <c r="BF16" s="159">
        <f>+AVERAGE(BF71:BF95)</f>
        <v>2.003823185896954</v>
      </c>
      <c r="BG16" s="159"/>
      <c r="BH16" s="159">
        <f>+AVERAGE(BH71:BH95)</f>
        <v>10.276036310739887</v>
      </c>
      <c r="BI16" s="159"/>
      <c r="BJ16" s="159">
        <f>+AVERAGE(BJ71:BJ95)</f>
        <v>298.04976984286185</v>
      </c>
      <c r="BK16" s="159"/>
      <c r="BL16" s="159">
        <f>+AVERAGE(BL71:BL95)</f>
        <v>547.61049669576346</v>
      </c>
      <c r="BM16" s="159"/>
      <c r="BN16" s="159">
        <f>+AVERAGE(BN71:BN95)</f>
        <v>180.29145875624329</v>
      </c>
      <c r="BO16" s="159"/>
      <c r="BP16" s="159">
        <f>+AVERAGE(BP71:BP95)</f>
        <v>148.49777236829362</v>
      </c>
      <c r="BQ16" s="159"/>
      <c r="BR16" s="159">
        <f>+AVERAGE(BR71:BR95)</f>
        <v>14.85691834856166</v>
      </c>
      <c r="BS16" s="159"/>
      <c r="BT16" s="159">
        <f>+AVERAGE(BT71:BT95)</f>
        <v>5.6087872487160917</v>
      </c>
      <c r="BU16" s="159"/>
      <c r="BV16" s="159">
        <f>+AVERAGE(BV71:BV95)</f>
        <v>12.038807563521591</v>
      </c>
      <c r="BW16" s="159"/>
      <c r="BX16" s="159">
        <f>+AVERAGE(BX71:BX95)</f>
        <v>42.394384409920406</v>
      </c>
      <c r="BY16" s="159"/>
      <c r="BZ16" s="159">
        <f>+AVERAGE(BZ71:BZ95)</f>
        <v>124.60397230303721</v>
      </c>
      <c r="CA16" s="159"/>
      <c r="CB16" s="159">
        <f>+AVERAGE(CB71:CB95)</f>
        <v>92.39112591196519</v>
      </c>
      <c r="CC16" s="159"/>
      <c r="CD16" s="159">
        <f>+AVERAGE(CD71:CD95)</f>
        <v>60.030479172155239</v>
      </c>
      <c r="CE16" s="159"/>
      <c r="CF16" s="159">
        <f>+AVERAGE(CF71:CF95)</f>
        <v>97.620899119410481</v>
      </c>
      <c r="CG16" s="159"/>
      <c r="CH16" s="159">
        <f>+AVERAGE(CH71:CH95)</f>
        <v>34.991280436772811</v>
      </c>
      <c r="CI16" s="159"/>
      <c r="CJ16" s="159">
        <f>+AVERAGE(CJ71:CJ95)</f>
        <v>164.71778038800272</v>
      </c>
      <c r="CK16" s="159"/>
      <c r="CL16" s="159">
        <f>+AVERAGE(CL71:CL95)</f>
        <v>153.40290032095899</v>
      </c>
      <c r="CM16" s="159"/>
      <c r="CN16" s="159">
        <f>+AVERAGE(CN71:CN95)</f>
        <v>0.32040464423532439</v>
      </c>
      <c r="CO16" s="159" t="e">
        <f>+AVERAGE(CO71:CO95)</f>
        <v>#DIV/0!</v>
      </c>
      <c r="CP16" s="159">
        <f>+AVERAGE(CP71:CP95)</f>
        <v>12.353776814977016</v>
      </c>
      <c r="CS16" s="158">
        <f>+AZ95/(AZ95+F95)</f>
        <v>0.43714022899125671</v>
      </c>
      <c r="CT16" s="158">
        <f>+BB95/(BB95+H95)</f>
        <v>3.3969136688239428E-2</v>
      </c>
      <c r="CU16" s="158">
        <f>+BD95/(BD95+J95)</f>
        <v>0.26655682856112012</v>
      </c>
      <c r="CV16" s="158">
        <f>+BF95/(BF95+L95)</f>
        <v>3.5329618400107086E-2</v>
      </c>
      <c r="CW16" s="158">
        <f>+BH95/(BH95+N95)</f>
        <v>0.16164989573852998</v>
      </c>
      <c r="CX16" s="158">
        <f>+BJ95/(BJ95+P95)</f>
        <v>0.38076120150591064</v>
      </c>
      <c r="CY16" s="158">
        <f>+BL95/(BL95+R95)</f>
        <v>0.34704540909672871</v>
      </c>
      <c r="CZ16" s="158">
        <f>+BN95/(BN95+T95)</f>
        <v>0.330638908472982</v>
      </c>
      <c r="DA16" s="158">
        <f>+BP95/(BP95+V95)</f>
        <v>0.33487049082796849</v>
      </c>
      <c r="DB16" s="158">
        <f>+BR95/(BR95+X95)</f>
        <v>9.9106273440344755E-2</v>
      </c>
      <c r="DC16" s="158">
        <f>+BT95/(BT95+Z95)</f>
        <v>4.6503503546510054E-2</v>
      </c>
      <c r="DD16" s="158">
        <f>+BV95/(BV95+AB95)</f>
        <v>0.15325395835108596</v>
      </c>
      <c r="DE16" s="158">
        <f>+BX95/(BX95+AD95)</f>
        <v>0.12160005382360879</v>
      </c>
      <c r="DF16" s="158">
        <f>+BZ95/(BZ95+AF95)</f>
        <v>0.20090075256324505</v>
      </c>
      <c r="DG16" s="158">
        <f>+CB95/(CB95+AH95)</f>
        <v>0.13632304056511593</v>
      </c>
      <c r="DH16" s="158">
        <f>+CD95/(CD95+AJ95)</f>
        <v>0.10331118770333297</v>
      </c>
      <c r="DI16" s="158">
        <f>+CF95/(CF95+AL95)</f>
        <v>0.16201087736284234</v>
      </c>
      <c r="DJ16" s="158">
        <f>+CH95/(CH95+AN95)</f>
        <v>0.33425391539984367</v>
      </c>
      <c r="DK16" s="158">
        <f>+CJ95/(CJ95+AP95)</f>
        <v>0.52556137206664288</v>
      </c>
      <c r="DL16" s="158">
        <f>+CL95/(CL95+AR95)</f>
        <v>0.60953977675697468</v>
      </c>
      <c r="DM16" s="158">
        <f>+CN95/(CN95+AT95)</f>
        <v>0.14480124518773826</v>
      </c>
    </row>
    <row r="17" spans="1:117" hidden="1" x14ac:dyDescent="0.2">
      <c r="A17" s="110">
        <v>2017</v>
      </c>
      <c r="B17" s="106" t="s">
        <v>168</v>
      </c>
      <c r="C17" s="156"/>
      <c r="D17" s="156">
        <v>6155.3069204645417</v>
      </c>
      <c r="E17" s="155"/>
      <c r="F17" s="155">
        <v>350.0449431875976</v>
      </c>
      <c r="G17" s="156"/>
      <c r="H17" s="156">
        <v>99.756095270001651</v>
      </c>
      <c r="I17" s="155"/>
      <c r="J17" s="155">
        <v>640.62505159950263</v>
      </c>
      <c r="K17" s="156"/>
      <c r="L17" s="156">
        <v>26.276081115776922</v>
      </c>
      <c r="M17" s="155"/>
      <c r="N17" s="155">
        <v>40.104102248096815</v>
      </c>
      <c r="O17" s="154"/>
      <c r="P17" s="154">
        <v>463.18307448365101</v>
      </c>
      <c r="Q17" s="153"/>
      <c r="R17" s="153">
        <v>1097.9063573473702</v>
      </c>
      <c r="S17" s="154"/>
      <c r="T17" s="154">
        <v>384.81795419356121</v>
      </c>
      <c r="U17" s="153"/>
      <c r="V17" s="153">
        <v>297.07648992556318</v>
      </c>
      <c r="W17" s="154"/>
      <c r="X17" s="154">
        <v>127.09757185364502</v>
      </c>
      <c r="Y17" s="153"/>
      <c r="Z17" s="153">
        <v>143.7718316600006</v>
      </c>
      <c r="AA17" s="154"/>
      <c r="AB17" s="154">
        <v>70.097162879674045</v>
      </c>
      <c r="AC17" s="153"/>
      <c r="AD17" s="153">
        <v>249.6030766137805</v>
      </c>
      <c r="AE17" s="154"/>
      <c r="AF17" s="154">
        <v>431.78266284056662</v>
      </c>
      <c r="AG17" s="153"/>
      <c r="AH17" s="153">
        <v>596.1415659204547</v>
      </c>
      <c r="AI17" s="154"/>
      <c r="AJ17" s="154">
        <v>459.51275341285128</v>
      </c>
      <c r="AK17" s="153"/>
      <c r="AL17" s="153">
        <v>274.63361758283065</v>
      </c>
      <c r="AM17" s="154"/>
      <c r="AN17" s="154">
        <v>64.258120160514963</v>
      </c>
      <c r="AO17" s="153"/>
      <c r="AP17" s="153">
        <v>143.50906901052076</v>
      </c>
      <c r="AQ17" s="154"/>
      <c r="AR17" s="154">
        <v>193.46312693573981</v>
      </c>
      <c r="AS17" s="153" t="s">
        <v>211</v>
      </c>
      <c r="AT17" s="153">
        <v>1.6462122228412768</v>
      </c>
      <c r="AU17" s="154" t="s">
        <v>211</v>
      </c>
      <c r="AV17" s="154">
        <v>0</v>
      </c>
      <c r="AW17" s="153"/>
      <c r="AX17" s="153">
        <v>2457.7855907802191</v>
      </c>
      <c r="AY17" s="154"/>
      <c r="AZ17" s="154">
        <v>289.02234439606633</v>
      </c>
      <c r="BA17" s="153" t="s">
        <v>211</v>
      </c>
      <c r="BB17" s="153">
        <v>5.8589751436957087</v>
      </c>
      <c r="BC17" s="154"/>
      <c r="BD17" s="154">
        <v>233.51876336392542</v>
      </c>
      <c r="BE17" s="153" t="s">
        <v>211</v>
      </c>
      <c r="BF17" s="153">
        <v>0.90540653539703053</v>
      </c>
      <c r="BG17" s="154" t="s">
        <v>212</v>
      </c>
      <c r="BH17" s="154">
        <v>9.9388562562375569</v>
      </c>
      <c r="BI17" s="153"/>
      <c r="BJ17" s="153">
        <v>286.90565235140963</v>
      </c>
      <c r="BK17" s="154"/>
      <c r="BL17" s="154">
        <v>524.31834098081686</v>
      </c>
      <c r="BM17" s="153"/>
      <c r="BN17" s="153">
        <v>179.59386284992766</v>
      </c>
      <c r="BO17" s="154"/>
      <c r="BP17" s="154">
        <v>131.90854416524812</v>
      </c>
      <c r="BQ17" s="153" t="s">
        <v>211</v>
      </c>
      <c r="BR17" s="153">
        <v>18.88591803209173</v>
      </c>
      <c r="BS17" s="154" t="s">
        <v>211</v>
      </c>
      <c r="BT17" s="154">
        <v>7.6070346917463363</v>
      </c>
      <c r="BU17" s="153" t="s">
        <v>211</v>
      </c>
      <c r="BV17" s="153">
        <v>9.1314958119600806</v>
      </c>
      <c r="BW17" s="154"/>
      <c r="BX17" s="154">
        <v>43.032285742042504</v>
      </c>
      <c r="BY17" s="153"/>
      <c r="BZ17" s="153">
        <v>122.44319026355248</v>
      </c>
      <c r="CA17" s="154"/>
      <c r="CB17" s="154">
        <v>95.829223481085265</v>
      </c>
      <c r="CC17" s="153"/>
      <c r="CD17" s="153">
        <v>71.364293404117817</v>
      </c>
      <c r="CE17" s="154"/>
      <c r="CF17" s="154">
        <v>84.234119670084112</v>
      </c>
      <c r="CG17" s="153"/>
      <c r="CH17" s="153">
        <v>32.415421912725051</v>
      </c>
      <c r="CI17" s="154"/>
      <c r="CJ17" s="154">
        <v>125.139020619148</v>
      </c>
      <c r="CK17" s="153"/>
      <c r="CL17" s="153">
        <v>184.90765525798381</v>
      </c>
      <c r="CM17" s="154" t="s">
        <v>211</v>
      </c>
      <c r="CN17" s="154">
        <v>0.82518585095742969</v>
      </c>
      <c r="CO17" s="153" t="s">
        <v>211</v>
      </c>
      <c r="CP17" s="153">
        <v>0</v>
      </c>
    </row>
    <row r="18" spans="1:117" hidden="1" x14ac:dyDescent="0.2">
      <c r="A18" s="110">
        <v>2017</v>
      </c>
      <c r="B18" s="106" t="s">
        <v>167</v>
      </c>
      <c r="C18" s="156"/>
      <c r="D18" s="156">
        <v>6125.851278119575</v>
      </c>
      <c r="E18" s="155"/>
      <c r="F18" s="155">
        <v>353.70633527234673</v>
      </c>
      <c r="G18" s="156"/>
      <c r="H18" s="156">
        <v>102.12903871314136</v>
      </c>
      <c r="I18" s="155"/>
      <c r="J18" s="155">
        <v>649.52860755647441</v>
      </c>
      <c r="K18" s="156"/>
      <c r="L18" s="156">
        <v>26.327807386828834</v>
      </c>
      <c r="M18" s="155"/>
      <c r="N18" s="155">
        <v>40.748030281317796</v>
      </c>
      <c r="O18" s="154"/>
      <c r="P18" s="154">
        <v>466.93280141400447</v>
      </c>
      <c r="Q18" s="153"/>
      <c r="R18" s="153">
        <v>1080.6772505710026</v>
      </c>
      <c r="S18" s="154"/>
      <c r="T18" s="154">
        <v>376.65131467704299</v>
      </c>
      <c r="U18" s="153"/>
      <c r="V18" s="153">
        <v>291.67729882500845</v>
      </c>
      <c r="W18" s="154"/>
      <c r="X18" s="154">
        <v>129.50370930263054</v>
      </c>
      <c r="Y18" s="153"/>
      <c r="Z18" s="153">
        <v>145.18188200643706</v>
      </c>
      <c r="AA18" s="154"/>
      <c r="AB18" s="154">
        <v>62.788835727297567</v>
      </c>
      <c r="AC18" s="153"/>
      <c r="AD18" s="153">
        <v>241.20826500887406</v>
      </c>
      <c r="AE18" s="154"/>
      <c r="AF18" s="154">
        <v>436.76367713683504</v>
      </c>
      <c r="AG18" s="153"/>
      <c r="AH18" s="153">
        <v>583.05220258308952</v>
      </c>
      <c r="AI18" s="154"/>
      <c r="AJ18" s="154">
        <v>467.9081086210233</v>
      </c>
      <c r="AK18" s="153"/>
      <c r="AL18" s="153">
        <v>274.88602598040774</v>
      </c>
      <c r="AM18" s="154"/>
      <c r="AN18" s="154">
        <v>62.512077795845265</v>
      </c>
      <c r="AO18" s="153"/>
      <c r="AP18" s="153">
        <v>138.18986230436542</v>
      </c>
      <c r="AQ18" s="154"/>
      <c r="AR18" s="154">
        <v>194.45156401899561</v>
      </c>
      <c r="AS18" s="153" t="s">
        <v>211</v>
      </c>
      <c r="AT18" s="153">
        <v>1.0265829366064143</v>
      </c>
      <c r="AU18" s="154" t="s">
        <v>211</v>
      </c>
      <c r="AV18" s="154">
        <v>0</v>
      </c>
      <c r="AW18" s="153"/>
      <c r="AX18" s="153">
        <v>2496.8522401309147</v>
      </c>
      <c r="AY18" s="154"/>
      <c r="AZ18" s="154">
        <v>296.06787220734776</v>
      </c>
      <c r="BA18" s="153" t="s">
        <v>211</v>
      </c>
      <c r="BB18" s="153">
        <v>4.8732395944291564</v>
      </c>
      <c r="BC18" s="154"/>
      <c r="BD18" s="154">
        <v>257.39024087974889</v>
      </c>
      <c r="BE18" s="153" t="s">
        <v>211</v>
      </c>
      <c r="BF18" s="153">
        <v>0.70094205634940887</v>
      </c>
      <c r="BG18" s="154" t="s">
        <v>211</v>
      </c>
      <c r="BH18" s="154">
        <v>9.1417360879402665</v>
      </c>
      <c r="BI18" s="153"/>
      <c r="BJ18" s="153">
        <v>271.12510036479443</v>
      </c>
      <c r="BK18" s="154"/>
      <c r="BL18" s="154">
        <v>519.06834029765969</v>
      </c>
      <c r="BM18" s="153"/>
      <c r="BN18" s="153">
        <v>185.44587298092276</v>
      </c>
      <c r="BO18" s="154"/>
      <c r="BP18" s="154">
        <v>129.91578815268585</v>
      </c>
      <c r="BQ18" s="153" t="s">
        <v>211</v>
      </c>
      <c r="BR18" s="153">
        <v>9.9638014073187016</v>
      </c>
      <c r="BS18" s="154" t="s">
        <v>211</v>
      </c>
      <c r="BT18" s="154">
        <v>7.4678195257905564</v>
      </c>
      <c r="BU18" s="153" t="s">
        <v>211</v>
      </c>
      <c r="BV18" s="153">
        <v>12.232117941177854</v>
      </c>
      <c r="BW18" s="154"/>
      <c r="BX18" s="154">
        <v>45.481666583973734</v>
      </c>
      <c r="BY18" s="153"/>
      <c r="BZ18" s="153">
        <v>139.10838128515914</v>
      </c>
      <c r="CA18" s="154"/>
      <c r="CB18" s="154">
        <v>99.795627785750241</v>
      </c>
      <c r="CC18" s="153"/>
      <c r="CD18" s="153">
        <v>76.244167169969217</v>
      </c>
      <c r="CE18" s="154"/>
      <c r="CF18" s="154">
        <v>85.341921094913474</v>
      </c>
      <c r="CG18" s="153"/>
      <c r="CH18" s="153">
        <v>35.206489919175695</v>
      </c>
      <c r="CI18" s="154"/>
      <c r="CJ18" s="154">
        <v>128.15837391703147</v>
      </c>
      <c r="CK18" s="153"/>
      <c r="CL18" s="153">
        <v>183.21485069543013</v>
      </c>
      <c r="CM18" s="154" t="s">
        <v>211</v>
      </c>
      <c r="CN18" s="154">
        <v>0.90789018334656746</v>
      </c>
      <c r="CO18" s="153" t="s">
        <v>211</v>
      </c>
      <c r="CP18" s="153">
        <v>0</v>
      </c>
      <c r="CS18" s="97" t="s">
        <v>215</v>
      </c>
      <c r="CT18" s="97" t="s">
        <v>236</v>
      </c>
      <c r="CU18" s="97" t="s">
        <v>220</v>
      </c>
      <c r="CV18" s="97" t="s">
        <v>228</v>
      </c>
      <c r="CW18" s="97" t="s">
        <v>222</v>
      </c>
      <c r="CX18" s="97" t="s">
        <v>216</v>
      </c>
      <c r="CY18" s="97" t="s">
        <v>217</v>
      </c>
      <c r="CZ18" s="97" t="s">
        <v>219</v>
      </c>
      <c r="DA18" s="97" t="s">
        <v>218</v>
      </c>
      <c r="DB18" s="97" t="s">
        <v>227</v>
      </c>
      <c r="DC18" s="97" t="s">
        <v>230</v>
      </c>
      <c r="DD18" s="97" t="s">
        <v>223</v>
      </c>
      <c r="DE18" s="97" t="s">
        <v>225</v>
      </c>
      <c r="DF18" s="97" t="s">
        <v>221</v>
      </c>
      <c r="DG18" s="97" t="s">
        <v>235</v>
      </c>
      <c r="DH18" s="97" t="s">
        <v>226</v>
      </c>
      <c r="DI18" s="97" t="s">
        <v>234</v>
      </c>
      <c r="DJ18" s="97" t="s">
        <v>233</v>
      </c>
      <c r="DK18" s="97" t="s">
        <v>214</v>
      </c>
      <c r="DL18" s="97" t="s">
        <v>213</v>
      </c>
      <c r="DM18" s="97" t="s">
        <v>232</v>
      </c>
    </row>
    <row r="19" spans="1:117" hidden="1" x14ac:dyDescent="0.2">
      <c r="A19" s="110">
        <v>2017</v>
      </c>
      <c r="B19" s="106" t="s">
        <v>166</v>
      </c>
      <c r="C19" s="156"/>
      <c r="D19" s="156">
        <v>6144.4764911879547</v>
      </c>
      <c r="E19" s="155"/>
      <c r="F19" s="155">
        <v>353.08609141566279</v>
      </c>
      <c r="G19" s="156"/>
      <c r="H19" s="156">
        <v>112.51559747909256</v>
      </c>
      <c r="I19" s="155"/>
      <c r="J19" s="155">
        <v>644.43328777105023</v>
      </c>
      <c r="K19" s="156" t="s">
        <v>212</v>
      </c>
      <c r="L19" s="156">
        <v>26.10170787101681</v>
      </c>
      <c r="M19" s="155"/>
      <c r="N19" s="155">
        <v>36.431246987087697</v>
      </c>
      <c r="O19" s="154"/>
      <c r="P19" s="154">
        <v>486.95194459699223</v>
      </c>
      <c r="Q19" s="153"/>
      <c r="R19" s="153">
        <v>1070.6931122624796</v>
      </c>
      <c r="S19" s="154"/>
      <c r="T19" s="154">
        <v>385.4264801848513</v>
      </c>
      <c r="U19" s="153"/>
      <c r="V19" s="153">
        <v>289.67963594353768</v>
      </c>
      <c r="W19" s="154"/>
      <c r="X19" s="154">
        <v>132.44448523017707</v>
      </c>
      <c r="Y19" s="153"/>
      <c r="Z19" s="153">
        <v>149.98191386265438</v>
      </c>
      <c r="AA19" s="154"/>
      <c r="AB19" s="154">
        <v>60.987351600909868</v>
      </c>
      <c r="AC19" s="153"/>
      <c r="AD19" s="153">
        <v>246.65063929102578</v>
      </c>
      <c r="AE19" s="154"/>
      <c r="AF19" s="154">
        <v>434.55745636427997</v>
      </c>
      <c r="AG19" s="153"/>
      <c r="AH19" s="153">
        <v>575.42444072584419</v>
      </c>
      <c r="AI19" s="154"/>
      <c r="AJ19" s="154">
        <v>472.45044753059682</v>
      </c>
      <c r="AK19" s="153"/>
      <c r="AL19" s="153">
        <v>264.58854284751686</v>
      </c>
      <c r="AM19" s="154"/>
      <c r="AN19" s="154">
        <v>74.382762456931601</v>
      </c>
      <c r="AO19" s="153"/>
      <c r="AP19" s="153">
        <v>130.6768138144223</v>
      </c>
      <c r="AQ19" s="154"/>
      <c r="AR19" s="154">
        <v>194.15477114615871</v>
      </c>
      <c r="AS19" s="153" t="s">
        <v>211</v>
      </c>
      <c r="AT19" s="153">
        <v>2.8577618056661418</v>
      </c>
      <c r="AU19" s="154" t="s">
        <v>211</v>
      </c>
      <c r="AV19" s="154">
        <v>0</v>
      </c>
      <c r="AW19" s="153"/>
      <c r="AX19" s="153">
        <v>2568.2049681883223</v>
      </c>
      <c r="AY19" s="154"/>
      <c r="AZ19" s="154">
        <v>301.2971527764019</v>
      </c>
      <c r="BA19" s="153" t="s">
        <v>211</v>
      </c>
      <c r="BB19" s="153">
        <v>5.2304312044853694</v>
      </c>
      <c r="BC19" s="154"/>
      <c r="BD19" s="154">
        <v>278.47288884025767</v>
      </c>
      <c r="BE19" s="153" t="s">
        <v>211</v>
      </c>
      <c r="BF19" s="153">
        <v>1.9180135149273807</v>
      </c>
      <c r="BG19" s="154" t="s">
        <v>211</v>
      </c>
      <c r="BH19" s="154">
        <v>9.7786410427312749</v>
      </c>
      <c r="BI19" s="153"/>
      <c r="BJ19" s="153">
        <v>259.74838010738131</v>
      </c>
      <c r="BK19" s="154"/>
      <c r="BL19" s="154">
        <v>530.10671989386503</v>
      </c>
      <c r="BM19" s="153"/>
      <c r="BN19" s="153">
        <v>191.70901633167256</v>
      </c>
      <c r="BO19" s="154"/>
      <c r="BP19" s="154">
        <v>145.41455733889373</v>
      </c>
      <c r="BQ19" s="153" t="s">
        <v>211</v>
      </c>
      <c r="BR19" s="153">
        <v>10.937007837008833</v>
      </c>
      <c r="BS19" s="154" t="s">
        <v>211</v>
      </c>
      <c r="BT19" s="154">
        <v>6.5765028357422253</v>
      </c>
      <c r="BU19" s="153" t="s">
        <v>211</v>
      </c>
      <c r="BV19" s="153">
        <v>12.951868129085492</v>
      </c>
      <c r="BW19" s="154"/>
      <c r="BX19" s="154">
        <v>50.557233920502945</v>
      </c>
      <c r="BY19" s="153"/>
      <c r="BZ19" s="153">
        <v>145.10778480081896</v>
      </c>
      <c r="CA19" s="154"/>
      <c r="CB19" s="154">
        <v>98.770797076872597</v>
      </c>
      <c r="CC19" s="153"/>
      <c r="CD19" s="153">
        <v>81.837713442678904</v>
      </c>
      <c r="CE19" s="154"/>
      <c r="CF19" s="154">
        <v>86.473935998965985</v>
      </c>
      <c r="CG19" s="153"/>
      <c r="CH19" s="153">
        <v>29.981422166353134</v>
      </c>
      <c r="CI19" s="154"/>
      <c r="CJ19" s="154">
        <v>134.7812714180925</v>
      </c>
      <c r="CK19" s="153"/>
      <c r="CL19" s="153">
        <v>185.64074509500449</v>
      </c>
      <c r="CM19" s="154" t="s">
        <v>211</v>
      </c>
      <c r="CN19" s="154">
        <v>0.91288441657984387</v>
      </c>
      <c r="CO19" s="153" t="s">
        <v>211</v>
      </c>
      <c r="CP19" s="153">
        <v>0</v>
      </c>
      <c r="CS19" s="97">
        <v>0.43714022899125671</v>
      </c>
      <c r="CT19" s="97">
        <v>3.3969136688239428E-2</v>
      </c>
      <c r="CU19" s="97">
        <v>0.26655682856112012</v>
      </c>
      <c r="CV19" s="97">
        <v>3.5329618400107086E-2</v>
      </c>
      <c r="CW19" s="97">
        <v>0.16164989573852998</v>
      </c>
      <c r="CX19" s="97">
        <v>0.38076120150591064</v>
      </c>
      <c r="CY19" s="97">
        <v>0.34704540909672871</v>
      </c>
      <c r="CZ19" s="97">
        <v>0.330638908472982</v>
      </c>
      <c r="DA19" s="97">
        <v>0.33487049082796849</v>
      </c>
      <c r="DB19" s="97">
        <v>9.9106273440344755E-2</v>
      </c>
      <c r="DC19" s="97">
        <v>4.6503503546510054E-2</v>
      </c>
      <c r="DD19" s="97">
        <v>0.15325395835108596</v>
      </c>
      <c r="DE19" s="97">
        <v>0.12160005382360879</v>
      </c>
      <c r="DF19" s="97">
        <v>0.20090075256324505</v>
      </c>
      <c r="DG19" s="97">
        <v>0.13632304056511593</v>
      </c>
      <c r="DH19" s="97">
        <v>0.10331118770333297</v>
      </c>
      <c r="DI19" s="97">
        <v>0.16201087736284234</v>
      </c>
      <c r="DJ19" s="97">
        <v>0.33425391539984367</v>
      </c>
      <c r="DK19" s="97">
        <v>0.52556137206664288</v>
      </c>
      <c r="DL19" s="97">
        <v>0.60953977675697468</v>
      </c>
      <c r="DM19" s="97">
        <v>0.14480124518773826</v>
      </c>
    </row>
    <row r="20" spans="1:117" x14ac:dyDescent="0.2">
      <c r="A20" s="110">
        <v>2017</v>
      </c>
      <c r="B20" s="106" t="s">
        <v>165</v>
      </c>
      <c r="C20" s="156"/>
      <c r="D20" s="156">
        <v>6171.2231071405477</v>
      </c>
      <c r="E20" s="155"/>
      <c r="F20" s="155">
        <v>386.08865178494813</v>
      </c>
      <c r="G20" s="156"/>
      <c r="H20" s="156">
        <v>118.6796416511266</v>
      </c>
      <c r="I20" s="155"/>
      <c r="J20" s="155">
        <v>637.3487862781684</v>
      </c>
      <c r="K20" s="156" t="s">
        <v>212</v>
      </c>
      <c r="L20" s="156">
        <v>23.762518847911924</v>
      </c>
      <c r="M20" s="155"/>
      <c r="N20" s="155">
        <v>38.380284535313827</v>
      </c>
      <c r="O20" s="154"/>
      <c r="P20" s="154">
        <v>490.69380503776893</v>
      </c>
      <c r="Q20" s="153"/>
      <c r="R20" s="153">
        <v>1047.9613778748264</v>
      </c>
      <c r="S20" s="154"/>
      <c r="T20" s="154">
        <v>393.82642464315182</v>
      </c>
      <c r="U20" s="153"/>
      <c r="V20" s="153">
        <v>288.57153521673399</v>
      </c>
      <c r="W20" s="154"/>
      <c r="X20" s="154">
        <v>132.97503287143539</v>
      </c>
      <c r="Y20" s="153"/>
      <c r="Z20" s="153">
        <v>150.85025756685729</v>
      </c>
      <c r="AA20" s="154"/>
      <c r="AB20" s="154">
        <v>66.011775941080288</v>
      </c>
      <c r="AC20" s="153"/>
      <c r="AD20" s="153">
        <v>256.81863162815137</v>
      </c>
      <c r="AE20" s="154"/>
      <c r="AF20" s="154">
        <v>419.8754506042323</v>
      </c>
      <c r="AG20" s="153"/>
      <c r="AH20" s="153">
        <v>583.90215653366772</v>
      </c>
      <c r="AI20" s="154"/>
      <c r="AJ20" s="154">
        <v>463.33378701317861</v>
      </c>
      <c r="AK20" s="153"/>
      <c r="AL20" s="153">
        <v>255.33590955273081</v>
      </c>
      <c r="AM20" s="154"/>
      <c r="AN20" s="154">
        <v>71.260060081712808</v>
      </c>
      <c r="AO20" s="153"/>
      <c r="AP20" s="153">
        <v>141.43162856939054</v>
      </c>
      <c r="AQ20" s="154"/>
      <c r="AR20" s="154">
        <v>199.95988608589661</v>
      </c>
      <c r="AS20" s="153" t="s">
        <v>211</v>
      </c>
      <c r="AT20" s="153">
        <v>4.1555048222639179</v>
      </c>
      <c r="AU20" s="154" t="s">
        <v>211</v>
      </c>
      <c r="AV20" s="154">
        <v>0</v>
      </c>
      <c r="AW20" s="153"/>
      <c r="AX20" s="153">
        <v>2597.4437495761454</v>
      </c>
      <c r="AY20" s="154"/>
      <c r="AZ20" s="154">
        <v>321.56611168154046</v>
      </c>
      <c r="BA20" s="153" t="s">
        <v>211</v>
      </c>
      <c r="BB20" s="153">
        <v>4.9887468005875872</v>
      </c>
      <c r="BC20" s="154"/>
      <c r="BD20" s="154">
        <v>269.91792885025956</v>
      </c>
      <c r="BE20" s="153" t="s">
        <v>211</v>
      </c>
      <c r="BF20" s="153">
        <v>1.8815947664082042</v>
      </c>
      <c r="BG20" s="154" t="s">
        <v>211</v>
      </c>
      <c r="BH20" s="154">
        <v>8.2306278679366027</v>
      </c>
      <c r="BI20" s="153"/>
      <c r="BJ20" s="153">
        <v>261.25956226990837</v>
      </c>
      <c r="BK20" s="154"/>
      <c r="BL20" s="154">
        <v>526.30890885099313</v>
      </c>
      <c r="BM20" s="153"/>
      <c r="BN20" s="153">
        <v>192.15051073472358</v>
      </c>
      <c r="BO20" s="154"/>
      <c r="BP20" s="154">
        <v>157.85947354296036</v>
      </c>
      <c r="BQ20" s="153" t="s">
        <v>212</v>
      </c>
      <c r="BR20" s="153">
        <v>15.701390145903664</v>
      </c>
      <c r="BS20" s="154" t="s">
        <v>211</v>
      </c>
      <c r="BT20" s="154">
        <v>5.0857507435634144</v>
      </c>
      <c r="BU20" s="153" t="s">
        <v>211</v>
      </c>
      <c r="BV20" s="153">
        <v>11.320776022463576</v>
      </c>
      <c r="BW20" s="154"/>
      <c r="BX20" s="154">
        <v>46.54993301316442</v>
      </c>
      <c r="BY20" s="153"/>
      <c r="BZ20" s="153">
        <v>150.86794599591937</v>
      </c>
      <c r="CA20" s="154"/>
      <c r="CB20" s="154">
        <v>104.78134471132672</v>
      </c>
      <c r="CC20" s="153"/>
      <c r="CD20" s="153">
        <v>83.221061614278312</v>
      </c>
      <c r="CE20" s="154"/>
      <c r="CF20" s="154">
        <v>91.774584896097736</v>
      </c>
      <c r="CG20" s="153"/>
      <c r="CH20" s="153">
        <v>33.103218815669202</v>
      </c>
      <c r="CI20" s="154"/>
      <c r="CJ20" s="154">
        <v>141.02868236116706</v>
      </c>
      <c r="CK20" s="153"/>
      <c r="CL20" s="153">
        <v>169.61867540229122</v>
      </c>
      <c r="CM20" s="154" t="s">
        <v>211</v>
      </c>
      <c r="CN20" s="154">
        <v>0.22692048898296011</v>
      </c>
      <c r="CO20" s="153" t="s">
        <v>211</v>
      </c>
      <c r="CP20" s="153">
        <v>0</v>
      </c>
      <c r="CS20" s="157" t="s">
        <v>231</v>
      </c>
      <c r="CT20" s="157" t="s">
        <v>134</v>
      </c>
    </row>
    <row r="21" spans="1:117" x14ac:dyDescent="0.2">
      <c r="A21" s="110">
        <v>2017</v>
      </c>
      <c r="B21" s="106" t="s">
        <v>164</v>
      </c>
      <c r="C21" s="156"/>
      <c r="D21" s="156">
        <v>6236.8209319140024</v>
      </c>
      <c r="E21" s="155"/>
      <c r="F21" s="155">
        <v>414.30515065693339</v>
      </c>
      <c r="G21" s="156"/>
      <c r="H21" s="156">
        <v>130.21393975387801</v>
      </c>
      <c r="I21" s="155"/>
      <c r="J21" s="155">
        <v>640.77037150180058</v>
      </c>
      <c r="K21" s="156" t="s">
        <v>212</v>
      </c>
      <c r="L21" s="156">
        <v>23.286297264661368</v>
      </c>
      <c r="M21" s="155"/>
      <c r="N21" s="155">
        <v>38.277556600269868</v>
      </c>
      <c r="O21" s="154"/>
      <c r="P21" s="154">
        <v>500.31749343482085</v>
      </c>
      <c r="Q21" s="153"/>
      <c r="R21" s="153">
        <v>1070.9761356583963</v>
      </c>
      <c r="S21" s="154"/>
      <c r="T21" s="154">
        <v>396.56955793272624</v>
      </c>
      <c r="U21" s="153"/>
      <c r="V21" s="153">
        <v>295.89902672755812</v>
      </c>
      <c r="W21" s="154"/>
      <c r="X21" s="154">
        <v>135.02891132085438</v>
      </c>
      <c r="Y21" s="153"/>
      <c r="Z21" s="153">
        <v>142.24098833842024</v>
      </c>
      <c r="AA21" s="154"/>
      <c r="AB21" s="154">
        <v>63.001071947870145</v>
      </c>
      <c r="AC21" s="153"/>
      <c r="AD21" s="153">
        <v>248.8547474788339</v>
      </c>
      <c r="AE21" s="154"/>
      <c r="AF21" s="154">
        <v>406.09560964124671</v>
      </c>
      <c r="AG21" s="153"/>
      <c r="AH21" s="153">
        <v>594.75946485540442</v>
      </c>
      <c r="AI21" s="154"/>
      <c r="AJ21" s="154">
        <v>448.08919587462771</v>
      </c>
      <c r="AK21" s="153"/>
      <c r="AL21" s="153">
        <v>252.99077205064</v>
      </c>
      <c r="AM21" s="154"/>
      <c r="AN21" s="154">
        <v>71.552283984223834</v>
      </c>
      <c r="AO21" s="153"/>
      <c r="AP21" s="153">
        <v>144.77759882967641</v>
      </c>
      <c r="AQ21" s="154"/>
      <c r="AR21" s="154">
        <v>213.70828189012656</v>
      </c>
      <c r="AS21" s="153" t="s">
        <v>211</v>
      </c>
      <c r="AT21" s="153">
        <v>5.1064761710341795</v>
      </c>
      <c r="AU21" s="154" t="s">
        <v>211</v>
      </c>
      <c r="AV21" s="154">
        <v>0</v>
      </c>
      <c r="AW21" s="153"/>
      <c r="AX21" s="153">
        <v>2557.1017032497216</v>
      </c>
      <c r="AY21" s="154"/>
      <c r="AZ21" s="154">
        <v>333.00917963790522</v>
      </c>
      <c r="BA21" s="153" t="s">
        <v>211</v>
      </c>
      <c r="BB21" s="153">
        <v>7.4808012907519696</v>
      </c>
      <c r="BC21" s="154"/>
      <c r="BD21" s="154">
        <v>264.10870461483887</v>
      </c>
      <c r="BE21" s="153" t="s">
        <v>211</v>
      </c>
      <c r="BF21" s="153">
        <v>2.0365506021948949</v>
      </c>
      <c r="BG21" s="154" t="s">
        <v>211</v>
      </c>
      <c r="BH21" s="154">
        <v>8.7368447356693473</v>
      </c>
      <c r="BI21" s="153"/>
      <c r="BJ21" s="153">
        <v>272.10564882307858</v>
      </c>
      <c r="BK21" s="154"/>
      <c r="BL21" s="154">
        <v>509.50384256475132</v>
      </c>
      <c r="BM21" s="153"/>
      <c r="BN21" s="153">
        <v>190.35062684495875</v>
      </c>
      <c r="BO21" s="154"/>
      <c r="BP21" s="154">
        <v>158.90357941740302</v>
      </c>
      <c r="BQ21" s="153" t="s">
        <v>212</v>
      </c>
      <c r="BR21" s="153">
        <v>14.936496753439153</v>
      </c>
      <c r="BS21" s="154" t="s">
        <v>211</v>
      </c>
      <c r="BT21" s="154">
        <v>6.41461258749192</v>
      </c>
      <c r="BU21" s="153" t="s">
        <v>211</v>
      </c>
      <c r="BV21" s="153">
        <v>9.0163221117979635</v>
      </c>
      <c r="BW21" s="154"/>
      <c r="BX21" s="154">
        <v>46.585354715032032</v>
      </c>
      <c r="BY21" s="153"/>
      <c r="BZ21" s="153">
        <v>139.83292772761445</v>
      </c>
      <c r="CA21" s="154"/>
      <c r="CB21" s="154">
        <v>98.028109737463922</v>
      </c>
      <c r="CC21" s="153"/>
      <c r="CD21" s="153">
        <v>77.26521508422951</v>
      </c>
      <c r="CE21" s="154"/>
      <c r="CF21" s="154">
        <v>89.480151034212696</v>
      </c>
      <c r="CG21" s="153"/>
      <c r="CH21" s="153">
        <v>34.60365496571756</v>
      </c>
      <c r="CI21" s="154"/>
      <c r="CJ21" s="154">
        <v>128.89059288811731</v>
      </c>
      <c r="CK21" s="153"/>
      <c r="CL21" s="153">
        <v>165.81248711305332</v>
      </c>
      <c r="CM21" s="154" t="s">
        <v>211</v>
      </c>
      <c r="CN21" s="154">
        <v>0</v>
      </c>
      <c r="CO21" s="153" t="s">
        <v>211</v>
      </c>
      <c r="CP21" s="153">
        <v>0</v>
      </c>
      <c r="CS21" s="246" t="s">
        <v>229</v>
      </c>
      <c r="CT21" s="246">
        <v>3.3969136688239428E-2</v>
      </c>
    </row>
    <row r="22" spans="1:117" x14ac:dyDescent="0.2">
      <c r="A22" s="110">
        <v>2018</v>
      </c>
      <c r="B22" s="111" t="s">
        <v>163</v>
      </c>
      <c r="C22" s="156"/>
      <c r="D22" s="156">
        <v>6249.5089257017908</v>
      </c>
      <c r="E22" s="155"/>
      <c r="F22" s="155">
        <v>432.04146626001324</v>
      </c>
      <c r="G22" s="156"/>
      <c r="H22" s="156">
        <v>126.57235975621442</v>
      </c>
      <c r="I22" s="155"/>
      <c r="J22" s="155">
        <v>643.9532620582122</v>
      </c>
      <c r="K22" s="156" t="s">
        <v>212</v>
      </c>
      <c r="L22" s="156">
        <v>22.212647414276855</v>
      </c>
      <c r="M22" s="155"/>
      <c r="N22" s="155">
        <v>39.444167676905813</v>
      </c>
      <c r="O22" s="154"/>
      <c r="P22" s="154">
        <v>491.77762986618256</v>
      </c>
      <c r="Q22" s="153"/>
      <c r="R22" s="153">
        <v>1059.6115996386152</v>
      </c>
      <c r="S22" s="154"/>
      <c r="T22" s="154">
        <v>401.08999097270345</v>
      </c>
      <c r="U22" s="153"/>
      <c r="V22" s="153">
        <v>318.18137055746433</v>
      </c>
      <c r="W22" s="154"/>
      <c r="X22" s="154">
        <v>136.51680131736509</v>
      </c>
      <c r="Y22" s="153"/>
      <c r="Z22" s="153">
        <v>140.12128046893116</v>
      </c>
      <c r="AA22" s="154"/>
      <c r="AB22" s="154">
        <v>68.173285907240952</v>
      </c>
      <c r="AC22" s="153"/>
      <c r="AD22" s="153">
        <v>243.01853479252111</v>
      </c>
      <c r="AE22" s="154"/>
      <c r="AF22" s="154">
        <v>417.09389459117079</v>
      </c>
      <c r="AG22" s="153"/>
      <c r="AH22" s="153">
        <v>600.95947489927187</v>
      </c>
      <c r="AI22" s="154"/>
      <c r="AJ22" s="154">
        <v>431.84529964939873</v>
      </c>
      <c r="AK22" s="153"/>
      <c r="AL22" s="153">
        <v>256.59549726416373</v>
      </c>
      <c r="AM22" s="154"/>
      <c r="AN22" s="154">
        <v>61.19824226295956</v>
      </c>
      <c r="AO22" s="153"/>
      <c r="AP22" s="153">
        <v>150.30998264630063</v>
      </c>
      <c r="AQ22" s="154"/>
      <c r="AR22" s="154">
        <v>205.2003178524686</v>
      </c>
      <c r="AS22" s="153" t="s">
        <v>211</v>
      </c>
      <c r="AT22" s="153">
        <v>3.5918198494102542</v>
      </c>
      <c r="AU22" s="154" t="s">
        <v>211</v>
      </c>
      <c r="AV22" s="154">
        <v>0</v>
      </c>
      <c r="AW22" s="153"/>
      <c r="AX22" s="153">
        <v>2537.5708155710859</v>
      </c>
      <c r="AY22" s="154"/>
      <c r="AZ22" s="154">
        <v>342.72857339302743</v>
      </c>
      <c r="BA22" s="153" t="s">
        <v>211</v>
      </c>
      <c r="BB22" s="153">
        <v>6.519186701700316</v>
      </c>
      <c r="BC22" s="154"/>
      <c r="BD22" s="154">
        <v>246.355711149521</v>
      </c>
      <c r="BE22" s="153" t="s">
        <v>211</v>
      </c>
      <c r="BF22" s="153">
        <v>0.98286047860125902</v>
      </c>
      <c r="BG22" s="154" t="s">
        <v>211</v>
      </c>
      <c r="BH22" s="154">
        <v>8.4184773607693515</v>
      </c>
      <c r="BI22" s="153"/>
      <c r="BJ22" s="153">
        <v>280.21057343043537</v>
      </c>
      <c r="BK22" s="154"/>
      <c r="BL22" s="154">
        <v>528.28371186155357</v>
      </c>
      <c r="BM22" s="153"/>
      <c r="BN22" s="153">
        <v>182.38477141204078</v>
      </c>
      <c r="BO22" s="154"/>
      <c r="BP22" s="154">
        <v>163.89663455313445</v>
      </c>
      <c r="BQ22" s="153" t="s">
        <v>212</v>
      </c>
      <c r="BR22" s="153">
        <v>17.225246702459184</v>
      </c>
      <c r="BS22" s="154" t="s">
        <v>211</v>
      </c>
      <c r="BT22" s="154">
        <v>8.0134926120510599</v>
      </c>
      <c r="BU22" s="153" t="s">
        <v>211</v>
      </c>
      <c r="BV22" s="153">
        <v>6.1007433376387805</v>
      </c>
      <c r="BW22" s="154"/>
      <c r="BX22" s="154">
        <v>44.709278132554836</v>
      </c>
      <c r="BY22" s="153"/>
      <c r="BZ22" s="153">
        <v>132.28588539031281</v>
      </c>
      <c r="CA22" s="154"/>
      <c r="CB22" s="154">
        <v>96.20674855322433</v>
      </c>
      <c r="CC22" s="153"/>
      <c r="CD22" s="153">
        <v>63.33100165668521</v>
      </c>
      <c r="CE22" s="154"/>
      <c r="CF22" s="154">
        <v>82.085606697734974</v>
      </c>
      <c r="CG22" s="153"/>
      <c r="CH22" s="153">
        <v>39.047779414339232</v>
      </c>
      <c r="CI22" s="154"/>
      <c r="CJ22" s="154">
        <v>129.14113240948822</v>
      </c>
      <c r="CK22" s="153"/>
      <c r="CL22" s="153">
        <v>159.64340032381389</v>
      </c>
      <c r="CM22" s="154" t="s">
        <v>211</v>
      </c>
      <c r="CN22" s="154">
        <v>0</v>
      </c>
      <c r="CO22" s="153" t="s">
        <v>211</v>
      </c>
      <c r="CP22" s="153">
        <v>0</v>
      </c>
      <c r="CS22" s="246" t="s">
        <v>228</v>
      </c>
      <c r="CT22" s="246">
        <v>3.5329618400107086E-2</v>
      </c>
    </row>
    <row r="23" spans="1:117" x14ac:dyDescent="0.2">
      <c r="A23" s="110">
        <v>2018</v>
      </c>
      <c r="B23" s="106" t="s">
        <v>162</v>
      </c>
      <c r="C23" s="156"/>
      <c r="D23" s="156">
        <v>6251.7070210714473</v>
      </c>
      <c r="E23" s="155"/>
      <c r="F23" s="155">
        <v>418.234002735498</v>
      </c>
      <c r="G23" s="156"/>
      <c r="H23" s="156">
        <v>129.09622012031437</v>
      </c>
      <c r="I23" s="155"/>
      <c r="J23" s="155">
        <v>651.08744836816413</v>
      </c>
      <c r="K23" s="156" t="s">
        <v>212</v>
      </c>
      <c r="L23" s="156">
        <v>22.410748944557827</v>
      </c>
      <c r="M23" s="155"/>
      <c r="N23" s="155">
        <v>36.369265566370402</v>
      </c>
      <c r="O23" s="154"/>
      <c r="P23" s="154">
        <v>492.23957633855082</v>
      </c>
      <c r="Q23" s="153"/>
      <c r="R23" s="153">
        <v>1061.8268984071992</v>
      </c>
      <c r="S23" s="154"/>
      <c r="T23" s="154">
        <v>391.1971637816842</v>
      </c>
      <c r="U23" s="153"/>
      <c r="V23" s="153">
        <v>320.97521580142802</v>
      </c>
      <c r="W23" s="154"/>
      <c r="X23" s="154">
        <v>144.99825325752022</v>
      </c>
      <c r="Y23" s="153"/>
      <c r="Z23" s="153">
        <v>141.36522259453719</v>
      </c>
      <c r="AA23" s="154"/>
      <c r="AB23" s="154">
        <v>63.668259349313189</v>
      </c>
      <c r="AC23" s="153"/>
      <c r="AD23" s="153">
        <v>248.53964033239106</v>
      </c>
      <c r="AE23" s="154"/>
      <c r="AF23" s="154">
        <v>449.61224417853833</v>
      </c>
      <c r="AG23" s="153"/>
      <c r="AH23" s="153">
        <v>592.89578418352448</v>
      </c>
      <c r="AI23" s="154"/>
      <c r="AJ23" s="154">
        <v>440.23690625142063</v>
      </c>
      <c r="AK23" s="153"/>
      <c r="AL23" s="153">
        <v>246.90036668886916</v>
      </c>
      <c r="AM23" s="154"/>
      <c r="AN23" s="154">
        <v>62.601399304525543</v>
      </c>
      <c r="AO23" s="153"/>
      <c r="AP23" s="153">
        <v>138.60570428161006</v>
      </c>
      <c r="AQ23" s="154"/>
      <c r="AR23" s="154">
        <v>197.29289016588208</v>
      </c>
      <c r="AS23" s="153" t="s">
        <v>211</v>
      </c>
      <c r="AT23" s="153">
        <v>1.5538104195483764</v>
      </c>
      <c r="AU23" s="154" t="s">
        <v>211</v>
      </c>
      <c r="AV23" s="154">
        <v>0</v>
      </c>
      <c r="AW23" s="153"/>
      <c r="AX23" s="153">
        <v>2507.3737316487977</v>
      </c>
      <c r="AY23" s="154"/>
      <c r="AZ23" s="154">
        <v>335.03551988320226</v>
      </c>
      <c r="BA23" s="153" t="s">
        <v>211</v>
      </c>
      <c r="BB23" s="153">
        <v>6.984362242749885</v>
      </c>
      <c r="BC23" s="154"/>
      <c r="BD23" s="154">
        <v>243.1903586584601</v>
      </c>
      <c r="BE23" s="153" t="s">
        <v>211</v>
      </c>
      <c r="BF23" s="153">
        <v>0.75095813858357074</v>
      </c>
      <c r="BG23" s="154" t="s">
        <v>211</v>
      </c>
      <c r="BH23" s="154">
        <v>9.9706335426579695</v>
      </c>
      <c r="BI23" s="153"/>
      <c r="BJ23" s="153">
        <v>278.67914470653795</v>
      </c>
      <c r="BK23" s="154"/>
      <c r="BL23" s="154">
        <v>517.99645722062576</v>
      </c>
      <c r="BM23" s="153"/>
      <c r="BN23" s="153">
        <v>184.13202819467799</v>
      </c>
      <c r="BO23" s="154"/>
      <c r="BP23" s="154">
        <v>155.21549519902948</v>
      </c>
      <c r="BQ23" s="153" t="s">
        <v>212</v>
      </c>
      <c r="BR23" s="153">
        <v>16.815346523050199</v>
      </c>
      <c r="BS23" s="154" t="s">
        <v>211</v>
      </c>
      <c r="BT23" s="154">
        <v>7.8333237967939109</v>
      </c>
      <c r="BU23" s="153" t="s">
        <v>211</v>
      </c>
      <c r="BV23" s="153">
        <v>7.1184811020257124</v>
      </c>
      <c r="BW23" s="154"/>
      <c r="BX23" s="154">
        <v>43.760136563255102</v>
      </c>
      <c r="BY23" s="153"/>
      <c r="BZ23" s="153">
        <v>126.48850994681555</v>
      </c>
      <c r="CA23" s="154"/>
      <c r="CB23" s="154">
        <v>90.748494618451858</v>
      </c>
      <c r="CC23" s="153"/>
      <c r="CD23" s="153">
        <v>62.652730014708418</v>
      </c>
      <c r="CE23" s="154"/>
      <c r="CF23" s="154">
        <v>89.21128658488243</v>
      </c>
      <c r="CG23" s="153"/>
      <c r="CH23" s="153">
        <v>35.412675082834255</v>
      </c>
      <c r="CI23" s="154"/>
      <c r="CJ23" s="154">
        <v>125.91173222013101</v>
      </c>
      <c r="CK23" s="153"/>
      <c r="CL23" s="153">
        <v>168.70191126473267</v>
      </c>
      <c r="CM23" s="154" t="s">
        <v>211</v>
      </c>
      <c r="CN23" s="154">
        <v>0.76414614459143004</v>
      </c>
      <c r="CO23" s="153" t="s">
        <v>211</v>
      </c>
      <c r="CP23" s="153">
        <v>0</v>
      </c>
      <c r="CS23" s="246" t="s">
        <v>230</v>
      </c>
      <c r="CT23" s="246">
        <v>4.6503503546510054E-2</v>
      </c>
    </row>
    <row r="24" spans="1:117" x14ac:dyDescent="0.2">
      <c r="A24" s="110">
        <v>2018</v>
      </c>
      <c r="B24" s="106" t="s">
        <v>173</v>
      </c>
      <c r="C24" s="156"/>
      <c r="D24" s="156">
        <v>6282.3741534737455</v>
      </c>
      <c r="E24" s="155"/>
      <c r="F24" s="155">
        <v>404.02076416892993</v>
      </c>
      <c r="G24" s="156"/>
      <c r="H24" s="156">
        <v>117.83757861455021</v>
      </c>
      <c r="I24" s="155"/>
      <c r="J24" s="155">
        <v>639.97719762500242</v>
      </c>
      <c r="K24" s="156" t="s">
        <v>212</v>
      </c>
      <c r="L24" s="156">
        <v>20.168150678733102</v>
      </c>
      <c r="M24" s="155"/>
      <c r="N24" s="155">
        <v>35.559862218817045</v>
      </c>
      <c r="O24" s="154"/>
      <c r="P24" s="154">
        <v>496.0866425635877</v>
      </c>
      <c r="Q24" s="153"/>
      <c r="R24" s="153">
        <v>1062.8822716958673</v>
      </c>
      <c r="S24" s="154"/>
      <c r="T24" s="154">
        <v>410.03319228799006</v>
      </c>
      <c r="U24" s="153"/>
      <c r="V24" s="153">
        <v>321.43398838820002</v>
      </c>
      <c r="W24" s="154"/>
      <c r="X24" s="154">
        <v>134.16837610245997</v>
      </c>
      <c r="Y24" s="153"/>
      <c r="Z24" s="153">
        <v>141.74123910514274</v>
      </c>
      <c r="AA24" s="154"/>
      <c r="AB24" s="154">
        <v>65.033301159199581</v>
      </c>
      <c r="AC24" s="153"/>
      <c r="AD24" s="153">
        <v>283.1443045784024</v>
      </c>
      <c r="AE24" s="154"/>
      <c r="AF24" s="154">
        <v>450.44747337288214</v>
      </c>
      <c r="AG24" s="153"/>
      <c r="AH24" s="153">
        <v>606.52558929958457</v>
      </c>
      <c r="AI24" s="154"/>
      <c r="AJ24" s="154">
        <v>452.38773739283863</v>
      </c>
      <c r="AK24" s="153"/>
      <c r="AL24" s="153">
        <v>247.96690274235146</v>
      </c>
      <c r="AM24" s="154"/>
      <c r="AN24" s="154">
        <v>66.105536006193475</v>
      </c>
      <c r="AO24" s="153"/>
      <c r="AP24" s="153">
        <v>135.41104264131374</v>
      </c>
      <c r="AQ24" s="154"/>
      <c r="AR24" s="154">
        <v>190.47608931558227</v>
      </c>
      <c r="AS24" s="153" t="s">
        <v>211</v>
      </c>
      <c r="AT24" s="153">
        <v>0.96691351611650711</v>
      </c>
      <c r="AU24" s="154" t="s">
        <v>211</v>
      </c>
      <c r="AV24" s="154">
        <v>0</v>
      </c>
      <c r="AW24" s="153"/>
      <c r="AX24" s="153">
        <v>2498.7095864684588</v>
      </c>
      <c r="AY24" s="154"/>
      <c r="AZ24" s="154">
        <v>322.06160634742281</v>
      </c>
      <c r="BA24" s="153" t="s">
        <v>211</v>
      </c>
      <c r="BB24" s="153">
        <v>4.4262112413918953</v>
      </c>
      <c r="BC24" s="154"/>
      <c r="BD24" s="154">
        <v>229.01038414532147</v>
      </c>
      <c r="BE24" s="153" t="s">
        <v>211</v>
      </c>
      <c r="BF24" s="153">
        <v>0.73439402581735402</v>
      </c>
      <c r="BG24" s="154" t="s">
        <v>211</v>
      </c>
      <c r="BH24" s="154">
        <v>9.675664640540889</v>
      </c>
      <c r="BI24" s="153"/>
      <c r="BJ24" s="153">
        <v>272.54475465145981</v>
      </c>
      <c r="BK24" s="154"/>
      <c r="BL24" s="154">
        <v>533.00773500722471</v>
      </c>
      <c r="BM24" s="153"/>
      <c r="BN24" s="153">
        <v>189.25017343247711</v>
      </c>
      <c r="BO24" s="154"/>
      <c r="BP24" s="154">
        <v>158.96462785853484</v>
      </c>
      <c r="BQ24" s="153" t="s">
        <v>212</v>
      </c>
      <c r="BR24" s="153">
        <v>19.732429189946043</v>
      </c>
      <c r="BS24" s="154" t="s">
        <v>211</v>
      </c>
      <c r="BT24" s="154">
        <v>8.2363621965374172</v>
      </c>
      <c r="BU24" s="153" t="s">
        <v>211</v>
      </c>
      <c r="BV24" s="153">
        <v>10.658321456091883</v>
      </c>
      <c r="BW24" s="154"/>
      <c r="BX24" s="154">
        <v>38.678993002404248</v>
      </c>
      <c r="BY24" s="153"/>
      <c r="BZ24" s="153">
        <v>124.75109540944543</v>
      </c>
      <c r="CA24" s="154"/>
      <c r="CB24" s="154">
        <v>89.280846558188415</v>
      </c>
      <c r="CC24" s="153"/>
      <c r="CD24" s="153">
        <v>66.52383179918661</v>
      </c>
      <c r="CE24" s="154"/>
      <c r="CF24" s="154">
        <v>86.535562630260515</v>
      </c>
      <c r="CG24" s="153"/>
      <c r="CH24" s="153">
        <v>32.85474416950472</v>
      </c>
      <c r="CI24" s="154"/>
      <c r="CJ24" s="154">
        <v>138.27866563817463</v>
      </c>
      <c r="CK24" s="153"/>
      <c r="CL24" s="153">
        <v>162.74637131151377</v>
      </c>
      <c r="CM24" s="154" t="s">
        <v>211</v>
      </c>
      <c r="CN24" s="154">
        <v>0.75681175701384085</v>
      </c>
      <c r="CO24" s="153" t="s">
        <v>211</v>
      </c>
      <c r="CP24" s="153">
        <v>0</v>
      </c>
      <c r="CS24" s="246" t="s">
        <v>227</v>
      </c>
      <c r="CT24" s="246">
        <v>9.9106273440344755E-2</v>
      </c>
    </row>
    <row r="25" spans="1:117" x14ac:dyDescent="0.2">
      <c r="A25" s="110">
        <v>2018</v>
      </c>
      <c r="B25" s="106" t="s">
        <v>172</v>
      </c>
      <c r="C25" s="156"/>
      <c r="D25" s="156">
        <v>6288.5897655747985</v>
      </c>
      <c r="E25" s="155"/>
      <c r="F25" s="155">
        <v>378.70099905496721</v>
      </c>
      <c r="G25" s="156"/>
      <c r="H25" s="156">
        <v>116.79493603823013</v>
      </c>
      <c r="I25" s="155"/>
      <c r="J25" s="155">
        <v>633.48034146734028</v>
      </c>
      <c r="K25" s="156" t="s">
        <v>212</v>
      </c>
      <c r="L25" s="156">
        <v>19.878766280282143</v>
      </c>
      <c r="M25" s="155"/>
      <c r="N25" s="155">
        <v>35.304193975412211</v>
      </c>
      <c r="O25" s="154"/>
      <c r="P25" s="154">
        <v>506.77442025344351</v>
      </c>
      <c r="Q25" s="153"/>
      <c r="R25" s="153">
        <v>1068.7731811467638</v>
      </c>
      <c r="S25" s="154"/>
      <c r="T25" s="154">
        <v>410.83726393885001</v>
      </c>
      <c r="U25" s="153"/>
      <c r="V25" s="153">
        <v>323.69515099931436</v>
      </c>
      <c r="W25" s="154"/>
      <c r="X25" s="154">
        <v>131.62094829774949</v>
      </c>
      <c r="Y25" s="153"/>
      <c r="Z25" s="153">
        <v>142.49345891717985</v>
      </c>
      <c r="AA25" s="154"/>
      <c r="AB25" s="154">
        <v>59.308513849285873</v>
      </c>
      <c r="AC25" s="153"/>
      <c r="AD25" s="153">
        <v>293.56660895629392</v>
      </c>
      <c r="AE25" s="154"/>
      <c r="AF25" s="154">
        <v>438.31470598898579</v>
      </c>
      <c r="AG25" s="153"/>
      <c r="AH25" s="153">
        <v>612.71137152285473</v>
      </c>
      <c r="AI25" s="154"/>
      <c r="AJ25" s="154">
        <v>464.64274371450904</v>
      </c>
      <c r="AK25" s="153"/>
      <c r="AL25" s="153">
        <v>258.06152875407554</v>
      </c>
      <c r="AM25" s="154"/>
      <c r="AN25" s="154">
        <v>68.788135443194989</v>
      </c>
      <c r="AO25" s="153"/>
      <c r="AP25" s="153">
        <v>133.04007038773807</v>
      </c>
      <c r="AQ25" s="154"/>
      <c r="AR25" s="154">
        <v>190.92731837774505</v>
      </c>
      <c r="AS25" s="153" t="s">
        <v>211</v>
      </c>
      <c r="AT25" s="153">
        <v>0.87510821058338706</v>
      </c>
      <c r="AU25" s="154" t="s">
        <v>211</v>
      </c>
      <c r="AV25" s="154">
        <v>0</v>
      </c>
      <c r="AW25" s="153"/>
      <c r="AX25" s="153">
        <v>2478.061454842195</v>
      </c>
      <c r="AY25" s="154"/>
      <c r="AZ25" s="154">
        <v>305.1011705662599</v>
      </c>
      <c r="BA25" s="153" t="s">
        <v>211</v>
      </c>
      <c r="BB25" s="153">
        <v>4.9046706854844269</v>
      </c>
      <c r="BC25" s="154"/>
      <c r="BD25" s="154">
        <v>227.47086936371107</v>
      </c>
      <c r="BE25" s="153" t="s">
        <v>211</v>
      </c>
      <c r="BF25" s="153">
        <v>0.8806862679420594</v>
      </c>
      <c r="BG25" s="154" t="s">
        <v>211</v>
      </c>
      <c r="BH25" s="154">
        <v>9.8881526488117952</v>
      </c>
      <c r="BI25" s="153"/>
      <c r="BJ25" s="153">
        <v>274.24749971421875</v>
      </c>
      <c r="BK25" s="154"/>
      <c r="BL25" s="154">
        <v>511.41165743199383</v>
      </c>
      <c r="BM25" s="153"/>
      <c r="BN25" s="153">
        <v>189.62081460515063</v>
      </c>
      <c r="BO25" s="154"/>
      <c r="BP25" s="154">
        <v>157.55392412169428</v>
      </c>
      <c r="BQ25" s="153" t="s">
        <v>212</v>
      </c>
      <c r="BR25" s="153">
        <v>23.511426152773581</v>
      </c>
      <c r="BS25" s="154" t="s">
        <v>211</v>
      </c>
      <c r="BT25" s="154">
        <v>7.1994192219618576</v>
      </c>
      <c r="BU25" s="153" t="s">
        <v>212</v>
      </c>
      <c r="BV25" s="153">
        <v>13.159148223618494</v>
      </c>
      <c r="BW25" s="154"/>
      <c r="BX25" s="154">
        <v>39.564906337226567</v>
      </c>
      <c r="BY25" s="153"/>
      <c r="BZ25" s="153">
        <v>119.20519636709602</v>
      </c>
      <c r="CA25" s="154"/>
      <c r="CB25" s="154">
        <v>88.34805381960966</v>
      </c>
      <c r="CC25" s="153"/>
      <c r="CD25" s="153">
        <v>78.204831846705133</v>
      </c>
      <c r="CE25" s="154"/>
      <c r="CF25" s="154">
        <v>98.839401610492899</v>
      </c>
      <c r="CG25" s="153"/>
      <c r="CH25" s="153">
        <v>30.785135613395919</v>
      </c>
      <c r="CI25" s="154"/>
      <c r="CJ25" s="154">
        <v>133.46639384613451</v>
      </c>
      <c r="CK25" s="153"/>
      <c r="CL25" s="153">
        <v>163.5727099443987</v>
      </c>
      <c r="CM25" s="154" t="s">
        <v>211</v>
      </c>
      <c r="CN25" s="154">
        <v>1.1253864535147804</v>
      </c>
      <c r="CO25" s="153" t="s">
        <v>211</v>
      </c>
      <c r="CP25" s="153">
        <v>0</v>
      </c>
      <c r="CS25" s="246" t="s">
        <v>226</v>
      </c>
      <c r="CT25" s="246">
        <v>0.10331118770333297</v>
      </c>
    </row>
    <row r="26" spans="1:117" x14ac:dyDescent="0.2">
      <c r="A26" s="110">
        <v>2018</v>
      </c>
      <c r="B26" s="106" t="s">
        <v>171</v>
      </c>
      <c r="C26" s="156"/>
      <c r="D26" s="156">
        <v>6301.1869014045096</v>
      </c>
      <c r="E26" s="155"/>
      <c r="F26" s="155">
        <v>355.06772255262644</v>
      </c>
      <c r="G26" s="156"/>
      <c r="H26" s="156">
        <v>113.84032849211241</v>
      </c>
      <c r="I26" s="155"/>
      <c r="J26" s="155">
        <v>644.57195928893987</v>
      </c>
      <c r="K26" s="156" t="s">
        <v>212</v>
      </c>
      <c r="L26" s="156">
        <v>21.203172995928831</v>
      </c>
      <c r="M26" s="155"/>
      <c r="N26" s="155">
        <v>37.150583865930436</v>
      </c>
      <c r="O26" s="154"/>
      <c r="P26" s="154">
        <v>525.31713275655761</v>
      </c>
      <c r="Q26" s="153"/>
      <c r="R26" s="153">
        <v>1064.7681465289008</v>
      </c>
      <c r="S26" s="154"/>
      <c r="T26" s="154">
        <v>409.31139378641643</v>
      </c>
      <c r="U26" s="153"/>
      <c r="V26" s="153">
        <v>332.79620862868296</v>
      </c>
      <c r="W26" s="154"/>
      <c r="X26" s="154">
        <v>129.48806457964508</v>
      </c>
      <c r="Y26" s="153"/>
      <c r="Z26" s="153">
        <v>145.87931559893673</v>
      </c>
      <c r="AA26" s="154"/>
      <c r="AB26" s="154">
        <v>64.087645779456707</v>
      </c>
      <c r="AC26" s="153"/>
      <c r="AD26" s="153">
        <v>289.99654020627355</v>
      </c>
      <c r="AE26" s="154"/>
      <c r="AF26" s="154">
        <v>429.71390306277476</v>
      </c>
      <c r="AG26" s="153"/>
      <c r="AH26" s="153">
        <v>631.88578275690224</v>
      </c>
      <c r="AI26" s="154"/>
      <c r="AJ26" s="154">
        <v>453.66090817530267</v>
      </c>
      <c r="AK26" s="153"/>
      <c r="AL26" s="153">
        <v>263.01468981606087</v>
      </c>
      <c r="AM26" s="154"/>
      <c r="AN26" s="154">
        <v>70.220730768165851</v>
      </c>
      <c r="AO26" s="153"/>
      <c r="AP26" s="153">
        <v>129.95457707592141</v>
      </c>
      <c r="AQ26" s="154"/>
      <c r="AR26" s="154">
        <v>187.97138641780043</v>
      </c>
      <c r="AS26" s="153" t="s">
        <v>211</v>
      </c>
      <c r="AT26" s="153">
        <v>1.2867082711726339</v>
      </c>
      <c r="AU26" s="154" t="s">
        <v>211</v>
      </c>
      <c r="AV26" s="154">
        <v>0</v>
      </c>
      <c r="AW26" s="153"/>
      <c r="AX26" s="153">
        <v>2454.361836360024</v>
      </c>
      <c r="AY26" s="154"/>
      <c r="AZ26" s="154">
        <v>285.9991990487444</v>
      </c>
      <c r="BA26" s="153" t="s">
        <v>211</v>
      </c>
      <c r="BB26" s="153">
        <v>3.6551510568918544</v>
      </c>
      <c r="BC26" s="154"/>
      <c r="BD26" s="154">
        <v>226.05165972506404</v>
      </c>
      <c r="BE26" s="153" t="s">
        <v>211</v>
      </c>
      <c r="BF26" s="153">
        <v>0.93585062481791481</v>
      </c>
      <c r="BG26" s="154" t="s">
        <v>211</v>
      </c>
      <c r="BH26" s="154">
        <v>8.1101077033395566</v>
      </c>
      <c r="BI26" s="153"/>
      <c r="BJ26" s="153">
        <v>265.28101329758113</v>
      </c>
      <c r="BK26" s="154"/>
      <c r="BL26" s="154">
        <v>501.73204259035623</v>
      </c>
      <c r="BM26" s="153"/>
      <c r="BN26" s="153">
        <v>192.22287173567173</v>
      </c>
      <c r="BO26" s="154"/>
      <c r="BP26" s="154">
        <v>159.20758284687841</v>
      </c>
      <c r="BQ26" s="153" t="s">
        <v>212</v>
      </c>
      <c r="BR26" s="153">
        <v>25.401580668039198</v>
      </c>
      <c r="BS26" s="154" t="s">
        <v>211</v>
      </c>
      <c r="BT26" s="154">
        <v>6.4757046885943712</v>
      </c>
      <c r="BU26" s="153" t="s">
        <v>212</v>
      </c>
      <c r="BV26" s="153">
        <v>11.888587340174727</v>
      </c>
      <c r="BW26" s="154"/>
      <c r="BX26" s="154">
        <v>48.035382714705904</v>
      </c>
      <c r="BY26" s="153"/>
      <c r="BZ26" s="153">
        <v>122.98976038127218</v>
      </c>
      <c r="CA26" s="154"/>
      <c r="CB26" s="154">
        <v>89.787687895769039</v>
      </c>
      <c r="CC26" s="153"/>
      <c r="CD26" s="153">
        <v>78.893880576761688</v>
      </c>
      <c r="CE26" s="154"/>
      <c r="CF26" s="154">
        <v>92.451602800731692</v>
      </c>
      <c r="CG26" s="153"/>
      <c r="CH26" s="153">
        <v>35.695425222735572</v>
      </c>
      <c r="CI26" s="154"/>
      <c r="CJ26" s="154">
        <v>133.03338171924526</v>
      </c>
      <c r="CK26" s="153"/>
      <c r="CL26" s="153">
        <v>165.37292755161971</v>
      </c>
      <c r="CM26" s="154" t="s">
        <v>211</v>
      </c>
      <c r="CN26" s="154">
        <v>1.1404361710292112</v>
      </c>
      <c r="CO26" s="153" t="s">
        <v>211</v>
      </c>
      <c r="CP26" s="153">
        <v>0</v>
      </c>
      <c r="CS26" s="246" t="s">
        <v>225</v>
      </c>
      <c r="CT26" s="246">
        <v>0.12160005382360879</v>
      </c>
    </row>
    <row r="27" spans="1:117" x14ac:dyDescent="0.2">
      <c r="A27" s="110">
        <v>2018</v>
      </c>
      <c r="B27" s="106" t="s">
        <v>170</v>
      </c>
      <c r="C27" s="156"/>
      <c r="D27" s="156">
        <v>6288.2113533551264</v>
      </c>
      <c r="E27" s="155"/>
      <c r="F27" s="155">
        <v>346.58983757132694</v>
      </c>
      <c r="G27" s="156"/>
      <c r="H27" s="156">
        <v>118.47897494021755</v>
      </c>
      <c r="I27" s="155"/>
      <c r="J27" s="155">
        <v>650.47503855594653</v>
      </c>
      <c r="K27" s="156" t="s">
        <v>212</v>
      </c>
      <c r="L27" s="156">
        <v>25.198816349370389</v>
      </c>
      <c r="M27" s="155"/>
      <c r="N27" s="155">
        <v>33.197375131556228</v>
      </c>
      <c r="O27" s="154"/>
      <c r="P27" s="154">
        <v>523.47979566647632</v>
      </c>
      <c r="Q27" s="153"/>
      <c r="R27" s="153">
        <v>1051.0650724776426</v>
      </c>
      <c r="S27" s="154"/>
      <c r="T27" s="154">
        <v>401.71092580582473</v>
      </c>
      <c r="U27" s="153"/>
      <c r="V27" s="153">
        <v>344.91084594768637</v>
      </c>
      <c r="W27" s="154"/>
      <c r="X27" s="154">
        <v>137.53187105390336</v>
      </c>
      <c r="Y27" s="153"/>
      <c r="Z27" s="153">
        <v>150.05454319806481</v>
      </c>
      <c r="AA27" s="154"/>
      <c r="AB27" s="154">
        <v>58.203551955989923</v>
      </c>
      <c r="AC27" s="153"/>
      <c r="AD27" s="153">
        <v>262.991454583333</v>
      </c>
      <c r="AE27" s="154"/>
      <c r="AF27" s="154">
        <v>441.8394908766831</v>
      </c>
      <c r="AG27" s="153"/>
      <c r="AH27" s="153">
        <v>632.66837601438078</v>
      </c>
      <c r="AI27" s="154"/>
      <c r="AJ27" s="154">
        <v>458.62425474349999</v>
      </c>
      <c r="AK27" s="153"/>
      <c r="AL27" s="153">
        <v>264.1194731464804</v>
      </c>
      <c r="AM27" s="154"/>
      <c r="AN27" s="154">
        <v>67.289640259686337</v>
      </c>
      <c r="AO27" s="153"/>
      <c r="AP27" s="153">
        <v>135.07944837198201</v>
      </c>
      <c r="AQ27" s="154"/>
      <c r="AR27" s="154">
        <v>184.03248490632743</v>
      </c>
      <c r="AS27" s="153" t="s">
        <v>211</v>
      </c>
      <c r="AT27" s="153">
        <v>0.6700817987476162</v>
      </c>
      <c r="AU27" s="154" t="s">
        <v>211</v>
      </c>
      <c r="AV27" s="154">
        <v>0</v>
      </c>
      <c r="AW27" s="153"/>
      <c r="AX27" s="153">
        <v>2420.526319167594</v>
      </c>
      <c r="AY27" s="154"/>
      <c r="AZ27" s="154">
        <v>273.52628736585319</v>
      </c>
      <c r="BA27" s="153" t="s">
        <v>211</v>
      </c>
      <c r="BB27" s="153">
        <v>4.3866794583069275</v>
      </c>
      <c r="BC27" s="154"/>
      <c r="BD27" s="154">
        <v>224.92258060197747</v>
      </c>
      <c r="BE27" s="153" t="s">
        <v>211</v>
      </c>
      <c r="BF27" s="153">
        <v>0.61646833051006134</v>
      </c>
      <c r="BG27" s="154" t="s">
        <v>211</v>
      </c>
      <c r="BH27" s="154">
        <v>8.1251274028139839</v>
      </c>
      <c r="BI27" s="153"/>
      <c r="BJ27" s="153">
        <v>269.41004839342907</v>
      </c>
      <c r="BK27" s="154"/>
      <c r="BL27" s="154">
        <v>492.21465954396854</v>
      </c>
      <c r="BM27" s="153"/>
      <c r="BN27" s="153">
        <v>186.74362829980433</v>
      </c>
      <c r="BO27" s="154"/>
      <c r="BP27" s="154">
        <v>159.17674647953407</v>
      </c>
      <c r="BQ27" s="153" t="s">
        <v>211</v>
      </c>
      <c r="BR27" s="153">
        <v>21.479444291581419</v>
      </c>
      <c r="BS27" s="154" t="s">
        <v>211</v>
      </c>
      <c r="BT27" s="154">
        <v>3.5366678178992292</v>
      </c>
      <c r="BU27" s="153" t="s">
        <v>211</v>
      </c>
      <c r="BV27" s="153">
        <v>8.4572320311855229</v>
      </c>
      <c r="BW27" s="154"/>
      <c r="BX27" s="154">
        <v>47.893527959224443</v>
      </c>
      <c r="BY27" s="153"/>
      <c r="BZ27" s="153">
        <v>117.04176532908625</v>
      </c>
      <c r="CA27" s="154"/>
      <c r="CB27" s="154">
        <v>93.794839597892349</v>
      </c>
      <c r="CC27" s="153"/>
      <c r="CD27" s="153">
        <v>76.917544513133564</v>
      </c>
      <c r="CE27" s="154"/>
      <c r="CF27" s="154">
        <v>94.814907759684004</v>
      </c>
      <c r="CG27" s="153"/>
      <c r="CH27" s="153">
        <v>34.118666048145919</v>
      </c>
      <c r="CI27" s="154"/>
      <c r="CJ27" s="154">
        <v>132.30855670939374</v>
      </c>
      <c r="CK27" s="153"/>
      <c r="CL27" s="153">
        <v>169.91776759446535</v>
      </c>
      <c r="CM27" s="154" t="s">
        <v>211</v>
      </c>
      <c r="CN27" s="154">
        <v>1.1231736397042766</v>
      </c>
      <c r="CO27" s="153" t="s">
        <v>211</v>
      </c>
      <c r="CP27" s="153">
        <v>0</v>
      </c>
      <c r="CS27" s="246" t="s">
        <v>235</v>
      </c>
      <c r="CT27" s="246">
        <v>0.13632304056511593</v>
      </c>
    </row>
    <row r="28" spans="1:117" x14ac:dyDescent="0.2">
      <c r="A28" s="110">
        <v>2018</v>
      </c>
      <c r="B28" s="106" t="s">
        <v>169</v>
      </c>
      <c r="C28" s="156"/>
      <c r="D28" s="156">
        <v>6296.6057663445763</v>
      </c>
      <c r="E28" s="155"/>
      <c r="F28" s="155">
        <v>353.22347692652346</v>
      </c>
      <c r="G28" s="156"/>
      <c r="H28" s="156">
        <v>117.825204758534</v>
      </c>
      <c r="I28" s="155"/>
      <c r="J28" s="155">
        <v>650.82400783834964</v>
      </c>
      <c r="K28" s="156" t="s">
        <v>212</v>
      </c>
      <c r="L28" s="156">
        <v>24.337696204968463</v>
      </c>
      <c r="M28" s="155"/>
      <c r="N28" s="155">
        <v>30.349469793608062</v>
      </c>
      <c r="O28" s="154"/>
      <c r="P28" s="154">
        <v>508.83118777564152</v>
      </c>
      <c r="Q28" s="153"/>
      <c r="R28" s="153">
        <v>1071.6715841313196</v>
      </c>
      <c r="S28" s="154"/>
      <c r="T28" s="154">
        <v>408.46927318112137</v>
      </c>
      <c r="U28" s="153"/>
      <c r="V28" s="153">
        <v>357.50365100538664</v>
      </c>
      <c r="W28" s="154"/>
      <c r="X28" s="154">
        <v>131.24725287867764</v>
      </c>
      <c r="Y28" s="153"/>
      <c r="Z28" s="153">
        <v>143.62460206865086</v>
      </c>
      <c r="AA28" s="154"/>
      <c r="AB28" s="154">
        <v>60.424513074247159</v>
      </c>
      <c r="AC28" s="153"/>
      <c r="AD28" s="153">
        <v>255.39495248135142</v>
      </c>
      <c r="AE28" s="154"/>
      <c r="AF28" s="154">
        <v>447.91257987748048</v>
      </c>
      <c r="AG28" s="153"/>
      <c r="AH28" s="153">
        <v>636.93574010582483</v>
      </c>
      <c r="AI28" s="154"/>
      <c r="AJ28" s="154">
        <v>448.0437474625366</v>
      </c>
      <c r="AK28" s="153"/>
      <c r="AL28" s="153">
        <v>261.06228401868856</v>
      </c>
      <c r="AM28" s="154"/>
      <c r="AN28" s="154">
        <v>70.277113609011238</v>
      </c>
      <c r="AO28" s="153"/>
      <c r="AP28" s="153">
        <v>137.04156407002131</v>
      </c>
      <c r="AQ28" s="154"/>
      <c r="AR28" s="154">
        <v>180.93546775893398</v>
      </c>
      <c r="AS28" s="153" t="s">
        <v>211</v>
      </c>
      <c r="AT28" s="153">
        <v>0.67039732369963578</v>
      </c>
      <c r="AU28" s="154" t="s">
        <v>211</v>
      </c>
      <c r="AV28" s="154">
        <v>0</v>
      </c>
      <c r="AW28" s="153"/>
      <c r="AX28" s="153">
        <v>2410.5885814964272</v>
      </c>
      <c r="AY28" s="154"/>
      <c r="AZ28" s="154">
        <v>271.78788906949069</v>
      </c>
      <c r="BA28" s="153" t="s">
        <v>211</v>
      </c>
      <c r="BB28" s="153">
        <v>4.0743799471345312</v>
      </c>
      <c r="BC28" s="154"/>
      <c r="BD28" s="154">
        <v>228.28302842659082</v>
      </c>
      <c r="BE28" s="153" t="s">
        <v>211</v>
      </c>
      <c r="BF28" s="153">
        <v>1.4830322566229011</v>
      </c>
      <c r="BG28" s="154" t="s">
        <v>211</v>
      </c>
      <c r="BH28" s="154">
        <v>7.6846198848349108</v>
      </c>
      <c r="BI28" s="153"/>
      <c r="BJ28" s="153">
        <v>280.02558005779258</v>
      </c>
      <c r="BK28" s="154"/>
      <c r="BL28" s="154">
        <v>494.15374355762088</v>
      </c>
      <c r="BM28" s="153"/>
      <c r="BN28" s="153">
        <v>188.39089911249087</v>
      </c>
      <c r="BO28" s="154"/>
      <c r="BP28" s="154">
        <v>145.76888781803032</v>
      </c>
      <c r="BQ28" s="153" t="s">
        <v>212</v>
      </c>
      <c r="BR28" s="153">
        <v>16.573819709268427</v>
      </c>
      <c r="BS28" s="154" t="s">
        <v>211</v>
      </c>
      <c r="BT28" s="154">
        <v>5.2101991952807536</v>
      </c>
      <c r="BU28" s="153" t="s">
        <v>211</v>
      </c>
      <c r="BV28" s="153">
        <v>7.7850741814913951</v>
      </c>
      <c r="BW28" s="154"/>
      <c r="BX28" s="154">
        <v>46.133024763664544</v>
      </c>
      <c r="BY28" s="153"/>
      <c r="BZ28" s="153">
        <v>107.155738698414</v>
      </c>
      <c r="CA28" s="154"/>
      <c r="CB28" s="154">
        <v>92.909589802058093</v>
      </c>
      <c r="CC28" s="153"/>
      <c r="CD28" s="153">
        <v>70.845109372542112</v>
      </c>
      <c r="CE28" s="154"/>
      <c r="CF28" s="154">
        <v>94.146019111355997</v>
      </c>
      <c r="CG28" s="153"/>
      <c r="CH28" s="153">
        <v>35.337459911188468</v>
      </c>
      <c r="CI28" s="154"/>
      <c r="CJ28" s="154">
        <v>133.09849233213427</v>
      </c>
      <c r="CK28" s="153"/>
      <c r="CL28" s="153">
        <v>178.96793075117401</v>
      </c>
      <c r="CM28" s="154" t="s">
        <v>211</v>
      </c>
      <c r="CN28" s="154">
        <v>0.77406353724686161</v>
      </c>
      <c r="CO28" s="153" t="s">
        <v>211</v>
      </c>
      <c r="CP28" s="153">
        <v>0</v>
      </c>
      <c r="CS28" s="246" t="s">
        <v>224</v>
      </c>
      <c r="CT28" s="246">
        <v>0.14480124518773826</v>
      </c>
    </row>
    <row r="29" spans="1:117" x14ac:dyDescent="0.2">
      <c r="A29" s="110">
        <v>2018</v>
      </c>
      <c r="B29" s="106" t="s">
        <v>168</v>
      </c>
      <c r="C29" s="156"/>
      <c r="D29" s="156">
        <v>6295.1828935339145</v>
      </c>
      <c r="E29" s="155"/>
      <c r="F29" s="155">
        <v>356.09204743070308</v>
      </c>
      <c r="G29" s="156"/>
      <c r="H29" s="156">
        <v>114.72378815334514</v>
      </c>
      <c r="I29" s="155"/>
      <c r="J29" s="155">
        <v>639.85404720149904</v>
      </c>
      <c r="K29" s="156" t="s">
        <v>212</v>
      </c>
      <c r="L29" s="156">
        <v>28.641669099550295</v>
      </c>
      <c r="M29" s="155"/>
      <c r="N29" s="155">
        <v>33.672313131292</v>
      </c>
      <c r="O29" s="154"/>
      <c r="P29" s="154">
        <v>501.06724773876994</v>
      </c>
      <c r="Q29" s="153"/>
      <c r="R29" s="153">
        <v>1079.6483636079893</v>
      </c>
      <c r="S29" s="154"/>
      <c r="T29" s="154">
        <v>412.34879637871285</v>
      </c>
      <c r="U29" s="153"/>
      <c r="V29" s="153">
        <v>360.05469475225658</v>
      </c>
      <c r="W29" s="154"/>
      <c r="X29" s="154">
        <v>131.27069940430579</v>
      </c>
      <c r="Y29" s="153"/>
      <c r="Z29" s="153">
        <v>144.559116250654</v>
      </c>
      <c r="AA29" s="154"/>
      <c r="AB29" s="154">
        <v>56.74810814720778</v>
      </c>
      <c r="AC29" s="153"/>
      <c r="AD29" s="153">
        <v>251.57429683729768</v>
      </c>
      <c r="AE29" s="154"/>
      <c r="AF29" s="154">
        <v>439.19202997121806</v>
      </c>
      <c r="AG29" s="153"/>
      <c r="AH29" s="153">
        <v>637.71937081381623</v>
      </c>
      <c r="AI29" s="154"/>
      <c r="AJ29" s="154">
        <v>460.69910856971694</v>
      </c>
      <c r="AK29" s="153"/>
      <c r="AL29" s="153">
        <v>262.56051600733144</v>
      </c>
      <c r="AM29" s="154"/>
      <c r="AN29" s="154">
        <v>74.138162802309765</v>
      </c>
      <c r="AO29" s="153"/>
      <c r="AP29" s="153">
        <v>136.99544311867186</v>
      </c>
      <c r="AQ29" s="154"/>
      <c r="AR29" s="154">
        <v>172.96264147818007</v>
      </c>
      <c r="AS29" s="153" t="s">
        <v>211</v>
      </c>
      <c r="AT29" s="153">
        <v>0.66043263908666194</v>
      </c>
      <c r="AU29" s="154" t="s">
        <v>211</v>
      </c>
      <c r="AV29" s="154">
        <v>0</v>
      </c>
      <c r="AW29" s="153"/>
      <c r="AX29" s="153">
        <v>2415.7248271617777</v>
      </c>
      <c r="AY29" s="154"/>
      <c r="AZ29" s="154">
        <v>270.02036291781445</v>
      </c>
      <c r="BA29" s="153" t="s">
        <v>211</v>
      </c>
      <c r="BB29" s="153">
        <v>6.617833549662782</v>
      </c>
      <c r="BC29" s="154"/>
      <c r="BD29" s="154">
        <v>223.41148449675222</v>
      </c>
      <c r="BE29" s="153" t="s">
        <v>211</v>
      </c>
      <c r="BF29" s="153">
        <v>2.3954146244332803</v>
      </c>
      <c r="BG29" s="154" t="s">
        <v>211</v>
      </c>
      <c r="BH29" s="154">
        <v>7.4149219513329294</v>
      </c>
      <c r="BI29" s="153"/>
      <c r="BJ29" s="153">
        <v>293.134359957203</v>
      </c>
      <c r="BK29" s="154"/>
      <c r="BL29" s="154">
        <v>513.55422305858883</v>
      </c>
      <c r="BM29" s="153"/>
      <c r="BN29" s="153">
        <v>181.91143739587119</v>
      </c>
      <c r="BO29" s="154"/>
      <c r="BP29" s="154">
        <v>133.67492237723306</v>
      </c>
      <c r="BQ29" s="153" t="s">
        <v>212</v>
      </c>
      <c r="BR29" s="153">
        <v>17.293205315759561</v>
      </c>
      <c r="BS29" s="154" t="s">
        <v>211</v>
      </c>
      <c r="BT29" s="154">
        <v>5.6455703015135699</v>
      </c>
      <c r="BU29" s="153" t="s">
        <v>211</v>
      </c>
      <c r="BV29" s="153">
        <v>10.425188633005613</v>
      </c>
      <c r="BW29" s="154"/>
      <c r="BX29" s="154">
        <v>44.460395346852408</v>
      </c>
      <c r="BY29" s="153"/>
      <c r="BZ29" s="153">
        <v>110.10589277516883</v>
      </c>
      <c r="CA29" s="154"/>
      <c r="CB29" s="154">
        <v>93.286083562236428</v>
      </c>
      <c r="CC29" s="153"/>
      <c r="CD29" s="153">
        <v>66.462215452770153</v>
      </c>
      <c r="CE29" s="154"/>
      <c r="CF29" s="154">
        <v>94.06966852347135</v>
      </c>
      <c r="CG29" s="153"/>
      <c r="CH29" s="153">
        <v>29.544505621267813</v>
      </c>
      <c r="CI29" s="154"/>
      <c r="CJ29" s="154">
        <v>137.32160588151964</v>
      </c>
      <c r="CK29" s="153"/>
      <c r="CL29" s="153">
        <v>174.97553541932075</v>
      </c>
      <c r="CM29" s="154" t="s">
        <v>211</v>
      </c>
      <c r="CN29" s="154">
        <v>0</v>
      </c>
      <c r="CO29" s="153" t="s">
        <v>211</v>
      </c>
      <c r="CP29" s="153">
        <v>0</v>
      </c>
      <c r="CS29" s="246" t="s">
        <v>223</v>
      </c>
      <c r="CT29" s="246">
        <v>0.15325395835108596</v>
      </c>
    </row>
    <row r="30" spans="1:117" x14ac:dyDescent="0.2">
      <c r="A30" s="110">
        <v>2018</v>
      </c>
      <c r="B30" s="106" t="s">
        <v>167</v>
      </c>
      <c r="C30" s="156"/>
      <c r="D30" s="156">
        <v>6268.5673865264816</v>
      </c>
      <c r="E30" s="155"/>
      <c r="F30" s="155">
        <v>358.78965081647084</v>
      </c>
      <c r="G30" s="156"/>
      <c r="H30" s="156">
        <v>109.66919014076687</v>
      </c>
      <c r="I30" s="155"/>
      <c r="J30" s="155">
        <v>644.07707239868284</v>
      </c>
      <c r="K30" s="156" t="s">
        <v>212</v>
      </c>
      <c r="L30" s="156">
        <v>29.295674222034389</v>
      </c>
      <c r="M30" s="155"/>
      <c r="N30" s="155">
        <v>34.769750922435804</v>
      </c>
      <c r="O30" s="154"/>
      <c r="P30" s="154">
        <v>503.51315930221676</v>
      </c>
      <c r="Q30" s="153"/>
      <c r="R30" s="153">
        <v>1058.6595925924223</v>
      </c>
      <c r="S30" s="154"/>
      <c r="T30" s="154">
        <v>405.08149253196433</v>
      </c>
      <c r="U30" s="153"/>
      <c r="V30" s="153">
        <v>355.86416474918855</v>
      </c>
      <c r="W30" s="154"/>
      <c r="X30" s="154">
        <v>125.61464778544672</v>
      </c>
      <c r="Y30" s="153"/>
      <c r="Z30" s="153">
        <v>142.595858723134</v>
      </c>
      <c r="AA30" s="154"/>
      <c r="AB30" s="154">
        <v>60.545123978224161</v>
      </c>
      <c r="AC30" s="153"/>
      <c r="AD30" s="153">
        <v>247.51231810408018</v>
      </c>
      <c r="AE30" s="154"/>
      <c r="AF30" s="154">
        <v>444.46760438738858</v>
      </c>
      <c r="AG30" s="153"/>
      <c r="AH30" s="153">
        <v>637.57056482803694</v>
      </c>
      <c r="AI30" s="154"/>
      <c r="AJ30" s="154">
        <v>469.34475329827023</v>
      </c>
      <c r="AK30" s="153"/>
      <c r="AL30" s="153">
        <v>263.80567028806183</v>
      </c>
      <c r="AM30" s="154"/>
      <c r="AN30" s="154">
        <v>71.704532788724876</v>
      </c>
      <c r="AO30" s="153"/>
      <c r="AP30" s="153">
        <v>139.04260001979554</v>
      </c>
      <c r="AQ30" s="154"/>
      <c r="AR30" s="154">
        <v>165.97348123439747</v>
      </c>
      <c r="AS30" s="153" t="s">
        <v>211</v>
      </c>
      <c r="AT30" s="153">
        <v>0.67048341473853368</v>
      </c>
      <c r="AU30" s="154" t="s">
        <v>211</v>
      </c>
      <c r="AV30" s="154">
        <v>0</v>
      </c>
      <c r="AW30" s="153"/>
      <c r="AX30" s="153">
        <v>2505.2690881861658</v>
      </c>
      <c r="AY30" s="154"/>
      <c r="AZ30" s="154">
        <v>273.16386088421649</v>
      </c>
      <c r="BA30" s="153" t="s">
        <v>211</v>
      </c>
      <c r="BB30" s="153">
        <v>7.3213411803263604</v>
      </c>
      <c r="BC30" s="154"/>
      <c r="BD30" s="154">
        <v>228.6231666046437</v>
      </c>
      <c r="BE30" s="153" t="s">
        <v>211</v>
      </c>
      <c r="BF30" s="153">
        <v>2.3309805364282639</v>
      </c>
      <c r="BG30" s="154" t="s">
        <v>211</v>
      </c>
      <c r="BH30" s="154">
        <v>7.0067401569366492</v>
      </c>
      <c r="BI30" s="153"/>
      <c r="BJ30" s="153">
        <v>298.722583788245</v>
      </c>
      <c r="BK30" s="154"/>
      <c r="BL30" s="154">
        <v>543.14315985172846</v>
      </c>
      <c r="BM30" s="153"/>
      <c r="BN30" s="153">
        <v>187.1239580875191</v>
      </c>
      <c r="BO30" s="154"/>
      <c r="BP30" s="154">
        <v>142.96811356483778</v>
      </c>
      <c r="BQ30" s="153" t="s">
        <v>212</v>
      </c>
      <c r="BR30" s="153">
        <v>19.844001239382788</v>
      </c>
      <c r="BS30" s="154" t="s">
        <v>211</v>
      </c>
      <c r="BT30" s="154">
        <v>7.8861209850096863</v>
      </c>
      <c r="BU30" s="153" t="s">
        <v>212</v>
      </c>
      <c r="BV30" s="153">
        <v>11.911879790138611</v>
      </c>
      <c r="BW30" s="154"/>
      <c r="BX30" s="154">
        <v>47.451443483858341</v>
      </c>
      <c r="BY30" s="153"/>
      <c r="BZ30" s="153">
        <v>120.3901840719623</v>
      </c>
      <c r="CA30" s="154"/>
      <c r="CB30" s="154">
        <v>90.108486139398195</v>
      </c>
      <c r="CC30" s="153"/>
      <c r="CD30" s="153">
        <v>74.732697943525636</v>
      </c>
      <c r="CE30" s="154"/>
      <c r="CF30" s="154">
        <v>94.514999997787513</v>
      </c>
      <c r="CG30" s="153"/>
      <c r="CH30" s="153">
        <v>30.674089270165354</v>
      </c>
      <c r="CI30" s="154"/>
      <c r="CJ30" s="154">
        <v>134.64861787933438</v>
      </c>
      <c r="CK30" s="153"/>
      <c r="CL30" s="153">
        <v>182.7026627307213</v>
      </c>
      <c r="CM30" s="154" t="s">
        <v>211</v>
      </c>
      <c r="CN30" s="154">
        <v>0</v>
      </c>
      <c r="CO30" s="153" t="s">
        <v>211</v>
      </c>
      <c r="CP30" s="153">
        <v>0</v>
      </c>
      <c r="CS30" s="246" t="s">
        <v>222</v>
      </c>
      <c r="CT30" s="246">
        <v>0.16164989573852998</v>
      </c>
    </row>
    <row r="31" spans="1:117" x14ac:dyDescent="0.2">
      <c r="A31" s="110">
        <v>2018</v>
      </c>
      <c r="B31" s="106" t="s">
        <v>166</v>
      </c>
      <c r="C31" s="156"/>
      <c r="D31" s="156">
        <v>6243.8371016643405</v>
      </c>
      <c r="E31" s="155"/>
      <c r="F31" s="155">
        <v>372.14625922941889</v>
      </c>
      <c r="G31" s="156"/>
      <c r="H31" s="156">
        <v>107.6376436172141</v>
      </c>
      <c r="I31" s="155"/>
      <c r="J31" s="155">
        <v>640.4907517391573</v>
      </c>
      <c r="K31" s="156"/>
      <c r="L31" s="156">
        <v>32.334777690130529</v>
      </c>
      <c r="M31" s="155"/>
      <c r="N31" s="155">
        <v>33.235778373088493</v>
      </c>
      <c r="O31" s="154"/>
      <c r="P31" s="154">
        <v>526.73269420604174</v>
      </c>
      <c r="Q31" s="153"/>
      <c r="R31" s="153">
        <v>1044.3713628980174</v>
      </c>
      <c r="S31" s="154"/>
      <c r="T31" s="154">
        <v>401.53816161277342</v>
      </c>
      <c r="U31" s="153"/>
      <c r="V31" s="153">
        <v>330.40587060437139</v>
      </c>
      <c r="W31" s="154"/>
      <c r="X31" s="154">
        <v>129.06091678420276</v>
      </c>
      <c r="Y31" s="153"/>
      <c r="Z31" s="153">
        <v>142.57713914876032</v>
      </c>
      <c r="AA31" s="154"/>
      <c r="AB31" s="154">
        <v>59.202241120241226</v>
      </c>
      <c r="AC31" s="153"/>
      <c r="AD31" s="153">
        <v>250.47839858689554</v>
      </c>
      <c r="AE31" s="154"/>
      <c r="AF31" s="154">
        <v>430.86072980857404</v>
      </c>
      <c r="AG31" s="153"/>
      <c r="AH31" s="153">
        <v>640.15882684241581</v>
      </c>
      <c r="AI31" s="154"/>
      <c r="AJ31" s="154">
        <v>462.89993432905806</v>
      </c>
      <c r="AK31" s="153"/>
      <c r="AL31" s="153">
        <v>266.28675219629423</v>
      </c>
      <c r="AM31" s="154"/>
      <c r="AN31" s="154">
        <v>66.469596884920449</v>
      </c>
      <c r="AO31" s="153"/>
      <c r="AP31" s="153">
        <v>135.72596139924838</v>
      </c>
      <c r="AQ31" s="154"/>
      <c r="AR31" s="154">
        <v>170.45135101834796</v>
      </c>
      <c r="AS31" s="153" t="s">
        <v>211</v>
      </c>
      <c r="AT31" s="153">
        <v>0.77195357516856777</v>
      </c>
      <c r="AU31" s="154" t="s">
        <v>211</v>
      </c>
      <c r="AV31" s="154">
        <v>0</v>
      </c>
      <c r="AW31" s="153"/>
      <c r="AX31" s="153">
        <v>2585.1542559407626</v>
      </c>
      <c r="AY31" s="154"/>
      <c r="AZ31" s="154">
        <v>288.76873225805031</v>
      </c>
      <c r="BA31" s="153" t="s">
        <v>211</v>
      </c>
      <c r="BB31" s="153">
        <v>7.6418051850330304</v>
      </c>
      <c r="BC31" s="154"/>
      <c r="BD31" s="154">
        <v>209.79179762445344</v>
      </c>
      <c r="BE31" s="153" t="s">
        <v>211</v>
      </c>
      <c r="BF31" s="153">
        <v>1.1933242301625604</v>
      </c>
      <c r="BG31" s="154" t="s">
        <v>211</v>
      </c>
      <c r="BH31" s="154">
        <v>9.687703131405156</v>
      </c>
      <c r="BI31" s="153"/>
      <c r="BJ31" s="153">
        <v>287.79540672965499</v>
      </c>
      <c r="BK31" s="154"/>
      <c r="BL31" s="154">
        <v>575.62420696591892</v>
      </c>
      <c r="BM31" s="153"/>
      <c r="BN31" s="153">
        <v>198.44494507464069</v>
      </c>
      <c r="BO31" s="154"/>
      <c r="BP31" s="154">
        <v>156.95703932579329</v>
      </c>
      <c r="BQ31" s="153" t="s">
        <v>212</v>
      </c>
      <c r="BR31" s="153">
        <v>20.795964727384998</v>
      </c>
      <c r="BS31" s="154" t="s">
        <v>211</v>
      </c>
      <c r="BT31" s="154">
        <v>6.4601420690228748</v>
      </c>
      <c r="BU31" s="153" t="s">
        <v>212</v>
      </c>
      <c r="BV31" s="153">
        <v>13.197971262965044</v>
      </c>
      <c r="BW31" s="154"/>
      <c r="BX31" s="154">
        <v>52.468645557945287</v>
      </c>
      <c r="BY31" s="153"/>
      <c r="BZ31" s="153">
        <v>131.33832135472935</v>
      </c>
      <c r="CA31" s="154"/>
      <c r="CB31" s="154">
        <v>93.76905044920089</v>
      </c>
      <c r="CC31" s="153"/>
      <c r="CD31" s="153">
        <v>77.874232270346312</v>
      </c>
      <c r="CE31" s="154"/>
      <c r="CF31" s="154">
        <v>90.623847115286793</v>
      </c>
      <c r="CG31" s="153" t="s">
        <v>211</v>
      </c>
      <c r="CH31" s="153">
        <v>43.389926521713384</v>
      </c>
      <c r="CI31" s="154"/>
      <c r="CJ31" s="154">
        <v>136.33305413429295</v>
      </c>
      <c r="CK31" s="153"/>
      <c r="CL31" s="153">
        <v>182.99813995276247</v>
      </c>
      <c r="CM31" s="154" t="s">
        <v>211</v>
      </c>
      <c r="CN31" s="154">
        <v>0</v>
      </c>
      <c r="CO31" s="153" t="s">
        <v>211</v>
      </c>
      <c r="CP31" s="153">
        <v>0</v>
      </c>
      <c r="CS31" s="246" t="s">
        <v>512</v>
      </c>
      <c r="CT31" s="246">
        <v>0.16201087736284234</v>
      </c>
    </row>
    <row r="32" spans="1:117" x14ac:dyDescent="0.2">
      <c r="A32" s="110">
        <v>2018</v>
      </c>
      <c r="B32" s="106" t="s">
        <v>165</v>
      </c>
      <c r="C32" s="156"/>
      <c r="D32" s="156">
        <v>6320.4695195412914</v>
      </c>
      <c r="E32" s="155"/>
      <c r="F32" s="155">
        <v>398.53151335079258</v>
      </c>
      <c r="G32" s="156"/>
      <c r="H32" s="156">
        <v>109.9437385768771</v>
      </c>
      <c r="I32" s="155"/>
      <c r="J32" s="155">
        <v>633.27458775100092</v>
      </c>
      <c r="K32" s="156"/>
      <c r="L32" s="156">
        <v>31.798551621521632</v>
      </c>
      <c r="M32" s="155"/>
      <c r="N32" s="155">
        <v>32.290011836650734</v>
      </c>
      <c r="O32" s="154"/>
      <c r="P32" s="154">
        <v>539.52496347074225</v>
      </c>
      <c r="Q32" s="153"/>
      <c r="R32" s="153">
        <v>1041.1224823678385</v>
      </c>
      <c r="S32" s="154"/>
      <c r="T32" s="154">
        <v>408.56736924915612</v>
      </c>
      <c r="U32" s="153"/>
      <c r="V32" s="153">
        <v>328.9184672131916</v>
      </c>
      <c r="W32" s="154"/>
      <c r="X32" s="154">
        <v>140.32599221732377</v>
      </c>
      <c r="Y32" s="153"/>
      <c r="Z32" s="153">
        <v>146.87036665629233</v>
      </c>
      <c r="AA32" s="154"/>
      <c r="AB32" s="154">
        <v>56.747850825964335</v>
      </c>
      <c r="AC32" s="153"/>
      <c r="AD32" s="153">
        <v>252.56601506536018</v>
      </c>
      <c r="AE32" s="154"/>
      <c r="AF32" s="154">
        <v>442.96800599708916</v>
      </c>
      <c r="AG32" s="153"/>
      <c r="AH32" s="153">
        <v>650.22742234975487</v>
      </c>
      <c r="AI32" s="154"/>
      <c r="AJ32" s="154">
        <v>464.62734079320239</v>
      </c>
      <c r="AK32" s="153"/>
      <c r="AL32" s="153">
        <v>270.93994383507368</v>
      </c>
      <c r="AM32" s="154"/>
      <c r="AN32" s="154">
        <v>63.77967731260653</v>
      </c>
      <c r="AO32" s="153"/>
      <c r="AP32" s="153">
        <v>130.59228862691262</v>
      </c>
      <c r="AQ32" s="154"/>
      <c r="AR32" s="154">
        <v>175.74198239249338</v>
      </c>
      <c r="AS32" s="153" t="s">
        <v>211</v>
      </c>
      <c r="AT32" s="153">
        <v>1.11094803144716</v>
      </c>
      <c r="AU32" s="154" t="s">
        <v>211</v>
      </c>
      <c r="AV32" s="154">
        <v>0</v>
      </c>
      <c r="AW32" s="153"/>
      <c r="AX32" s="153">
        <v>2593.7789407825016</v>
      </c>
      <c r="AY32" s="154"/>
      <c r="AZ32" s="154">
        <v>307.78788488767202</v>
      </c>
      <c r="BA32" s="153" t="s">
        <v>211</v>
      </c>
      <c r="BB32" s="153">
        <v>5.45387153046254</v>
      </c>
      <c r="BC32" s="154"/>
      <c r="BD32" s="154">
        <v>222.62467285240197</v>
      </c>
      <c r="BE32" s="153" t="s">
        <v>211</v>
      </c>
      <c r="BF32" s="153">
        <v>0.69328366248650075</v>
      </c>
      <c r="BG32" s="154" t="s">
        <v>211</v>
      </c>
      <c r="BH32" s="154">
        <v>10.218686217005631</v>
      </c>
      <c r="BI32" s="153"/>
      <c r="BJ32" s="153">
        <v>282.32258516833008</v>
      </c>
      <c r="BK32" s="154"/>
      <c r="BL32" s="154">
        <v>563.52547743140224</v>
      </c>
      <c r="BM32" s="153"/>
      <c r="BN32" s="153">
        <v>196.53824960930802</v>
      </c>
      <c r="BO32" s="154"/>
      <c r="BP32" s="154">
        <v>159.93265505706842</v>
      </c>
      <c r="BQ32" s="153" t="s">
        <v>212</v>
      </c>
      <c r="BR32" s="153">
        <v>19.567535013535785</v>
      </c>
      <c r="BS32" s="154" t="s">
        <v>211</v>
      </c>
      <c r="BT32" s="154">
        <v>7.6683827289924542</v>
      </c>
      <c r="BU32" s="153" t="s">
        <v>212</v>
      </c>
      <c r="BV32" s="153">
        <v>10.907222073576591</v>
      </c>
      <c r="BW32" s="154"/>
      <c r="BX32" s="154">
        <v>41.861840782111756</v>
      </c>
      <c r="BY32" s="153"/>
      <c r="BZ32" s="153">
        <v>135.74972649665438</v>
      </c>
      <c r="CA32" s="154"/>
      <c r="CB32" s="154">
        <v>92.697085988664398</v>
      </c>
      <c r="CC32" s="153"/>
      <c r="CD32" s="153">
        <v>82.573847428110739</v>
      </c>
      <c r="CE32" s="154"/>
      <c r="CF32" s="154">
        <v>89.21126605853118</v>
      </c>
      <c r="CG32" s="153" t="s">
        <v>212</v>
      </c>
      <c r="CH32" s="153">
        <v>45.412114441511932</v>
      </c>
      <c r="CI32" s="154"/>
      <c r="CJ32" s="154">
        <v>136.66711576126573</v>
      </c>
      <c r="CK32" s="153"/>
      <c r="CL32" s="153">
        <v>182.36543759340958</v>
      </c>
      <c r="CM32" s="154" t="s">
        <v>211</v>
      </c>
      <c r="CN32" s="154">
        <v>0</v>
      </c>
      <c r="CO32" s="153" t="s">
        <v>211</v>
      </c>
      <c r="CP32" s="153">
        <v>0</v>
      </c>
      <c r="CS32" s="246" t="s">
        <v>221</v>
      </c>
      <c r="CT32" s="246">
        <v>0.20090075256324505</v>
      </c>
    </row>
    <row r="33" spans="1:104" x14ac:dyDescent="0.2">
      <c r="A33" s="110">
        <v>2018</v>
      </c>
      <c r="B33" s="106" t="s">
        <v>164</v>
      </c>
      <c r="C33" s="156"/>
      <c r="D33" s="156">
        <v>6374.7502125972114</v>
      </c>
      <c r="E33" s="155"/>
      <c r="F33" s="155">
        <v>418.4352720179312</v>
      </c>
      <c r="G33" s="156"/>
      <c r="H33" s="156">
        <v>118.12500126175831</v>
      </c>
      <c r="I33" s="155"/>
      <c r="J33" s="155">
        <v>634.63434430335508</v>
      </c>
      <c r="K33" s="156"/>
      <c r="L33" s="156">
        <v>29.254790765598745</v>
      </c>
      <c r="M33" s="155"/>
      <c r="N33" s="155">
        <v>30.459981338955934</v>
      </c>
      <c r="O33" s="154"/>
      <c r="P33" s="154">
        <v>537.3511144457334</v>
      </c>
      <c r="Q33" s="153"/>
      <c r="R33" s="153">
        <v>1078.8592547521737</v>
      </c>
      <c r="S33" s="154"/>
      <c r="T33" s="154">
        <v>400.21664702474948</v>
      </c>
      <c r="U33" s="153"/>
      <c r="V33" s="153">
        <v>320.97593891477902</v>
      </c>
      <c r="W33" s="154"/>
      <c r="X33" s="154">
        <v>140.10525073070079</v>
      </c>
      <c r="Y33" s="153"/>
      <c r="Z33" s="153">
        <v>155.28580899502279</v>
      </c>
      <c r="AA33" s="154"/>
      <c r="AB33" s="154">
        <v>52.461812741580538</v>
      </c>
      <c r="AC33" s="153"/>
      <c r="AD33" s="153">
        <v>251.57649842986467</v>
      </c>
      <c r="AE33" s="154"/>
      <c r="AF33" s="154">
        <v>440.045327147715</v>
      </c>
      <c r="AG33" s="153"/>
      <c r="AH33" s="153">
        <v>646.74393184237681</v>
      </c>
      <c r="AI33" s="154"/>
      <c r="AJ33" s="154">
        <v>462.20067534234727</v>
      </c>
      <c r="AK33" s="153"/>
      <c r="AL33" s="153">
        <v>269.5145061668033</v>
      </c>
      <c r="AM33" s="154"/>
      <c r="AN33" s="154">
        <v>69.150257083582815</v>
      </c>
      <c r="AO33" s="153"/>
      <c r="AP33" s="153">
        <v>137.02128470413402</v>
      </c>
      <c r="AQ33" s="154"/>
      <c r="AR33" s="154">
        <v>179.93874661696731</v>
      </c>
      <c r="AS33" s="153" t="s">
        <v>211</v>
      </c>
      <c r="AT33" s="153">
        <v>2.3937679710813273</v>
      </c>
      <c r="AU33" s="154" t="s">
        <v>211</v>
      </c>
      <c r="AV33" s="154">
        <v>0</v>
      </c>
      <c r="AW33" s="153"/>
      <c r="AX33" s="153">
        <v>2553.2013906628281</v>
      </c>
      <c r="AY33" s="154"/>
      <c r="AZ33" s="154">
        <v>326.53253917701431</v>
      </c>
      <c r="BA33" s="153" t="s">
        <v>211</v>
      </c>
      <c r="BB33" s="153">
        <v>6.3808642605434462</v>
      </c>
      <c r="BC33" s="154"/>
      <c r="BD33" s="154">
        <v>220.60409963720656</v>
      </c>
      <c r="BE33" s="153" t="s">
        <v>211</v>
      </c>
      <c r="BF33" s="153">
        <v>0.91270521998920973</v>
      </c>
      <c r="BG33" s="154" t="s">
        <v>211</v>
      </c>
      <c r="BH33" s="154">
        <v>8.7258265505963539</v>
      </c>
      <c r="BI33" s="153"/>
      <c r="BJ33" s="153">
        <v>263.09641439086795</v>
      </c>
      <c r="BK33" s="154"/>
      <c r="BL33" s="154">
        <v>547.09825840055385</v>
      </c>
      <c r="BM33" s="153"/>
      <c r="BN33" s="153">
        <v>183.96874980987823</v>
      </c>
      <c r="BO33" s="154"/>
      <c r="BP33" s="154">
        <v>173.42094670191105</v>
      </c>
      <c r="BQ33" s="153" t="s">
        <v>212</v>
      </c>
      <c r="BR33" s="153">
        <v>22.375782166850431</v>
      </c>
      <c r="BS33" s="154" t="s">
        <v>211</v>
      </c>
      <c r="BT33" s="154">
        <v>12.525832313820558</v>
      </c>
      <c r="BU33" s="153" t="s">
        <v>212</v>
      </c>
      <c r="BV33" s="153">
        <v>11.755293342822307</v>
      </c>
      <c r="BW33" s="154"/>
      <c r="BX33" s="154">
        <v>39.488207916273169</v>
      </c>
      <c r="BY33" s="153"/>
      <c r="BZ33" s="153">
        <v>127.42037906404209</v>
      </c>
      <c r="CA33" s="154"/>
      <c r="CB33" s="154">
        <v>93.319760315543306</v>
      </c>
      <c r="CC33" s="153"/>
      <c r="CD33" s="153">
        <v>72.278623790269535</v>
      </c>
      <c r="CE33" s="154"/>
      <c r="CF33" s="154">
        <v>84.512860895412061</v>
      </c>
      <c r="CG33" s="153" t="s">
        <v>212</v>
      </c>
      <c r="CH33" s="153">
        <v>53.720733854345966</v>
      </c>
      <c r="CI33" s="154"/>
      <c r="CJ33" s="154">
        <v>131.89779944971042</v>
      </c>
      <c r="CK33" s="153"/>
      <c r="CL33" s="153">
        <v>172.79392805103316</v>
      </c>
      <c r="CM33" s="154" t="s">
        <v>211</v>
      </c>
      <c r="CN33" s="154">
        <v>0.37178535414400432</v>
      </c>
      <c r="CO33" s="153" t="s">
        <v>211</v>
      </c>
      <c r="CP33" s="153">
        <v>0</v>
      </c>
      <c r="CS33" s="246" t="s">
        <v>220</v>
      </c>
      <c r="CT33" s="246">
        <v>0.26655682856112012</v>
      </c>
    </row>
    <row r="34" spans="1:104" x14ac:dyDescent="0.2">
      <c r="A34" s="110">
        <v>2019</v>
      </c>
      <c r="B34" s="111" t="s">
        <v>163</v>
      </c>
      <c r="C34" s="156"/>
      <c r="D34" s="156">
        <v>6422.2554246215977</v>
      </c>
      <c r="E34" s="155"/>
      <c r="F34" s="155">
        <v>419.74323037712151</v>
      </c>
      <c r="G34" s="156"/>
      <c r="H34" s="156">
        <v>124.15834576077761</v>
      </c>
      <c r="I34" s="155"/>
      <c r="J34" s="155">
        <v>651.2409711601141</v>
      </c>
      <c r="K34" s="156"/>
      <c r="L34" s="156">
        <v>27.470322759294664</v>
      </c>
      <c r="M34" s="155"/>
      <c r="N34" s="155">
        <v>29.098622073647434</v>
      </c>
      <c r="O34" s="154"/>
      <c r="P34" s="154">
        <v>543.71699012794784</v>
      </c>
      <c r="Q34" s="153"/>
      <c r="R34" s="153">
        <v>1096.8363614738587</v>
      </c>
      <c r="S34" s="154"/>
      <c r="T34" s="154">
        <v>400.34905865510274</v>
      </c>
      <c r="U34" s="153"/>
      <c r="V34" s="153">
        <v>318.48055030719382</v>
      </c>
      <c r="W34" s="154"/>
      <c r="X34" s="154">
        <v>136.76326878166682</v>
      </c>
      <c r="Y34" s="153"/>
      <c r="Z34" s="153">
        <v>150.16848506801927</v>
      </c>
      <c r="AA34" s="154"/>
      <c r="AB34" s="154">
        <v>52.685734955401017</v>
      </c>
      <c r="AC34" s="153"/>
      <c r="AD34" s="153">
        <v>263.50195707434915</v>
      </c>
      <c r="AE34" s="154"/>
      <c r="AF34" s="154">
        <v>445.95656920627908</v>
      </c>
      <c r="AG34" s="153"/>
      <c r="AH34" s="153">
        <v>641.2560496498744</v>
      </c>
      <c r="AI34" s="154"/>
      <c r="AJ34" s="154">
        <v>453.33775629891755</v>
      </c>
      <c r="AK34" s="153"/>
      <c r="AL34" s="153">
        <v>268.73558704362233</v>
      </c>
      <c r="AM34" s="154"/>
      <c r="AN34" s="154">
        <v>66.475389256356848</v>
      </c>
      <c r="AO34" s="153"/>
      <c r="AP34" s="153">
        <v>142.25876495699418</v>
      </c>
      <c r="AQ34" s="154"/>
      <c r="AR34" s="154">
        <v>187.61810680475006</v>
      </c>
      <c r="AS34" s="153" t="s">
        <v>211</v>
      </c>
      <c r="AT34" s="153">
        <v>2.4033028303090873</v>
      </c>
      <c r="AU34" s="154" t="s">
        <v>211</v>
      </c>
      <c r="AV34" s="154">
        <v>0</v>
      </c>
      <c r="AW34" s="153"/>
      <c r="AX34" s="153">
        <v>2485.3820703407159</v>
      </c>
      <c r="AY34" s="154"/>
      <c r="AZ34" s="154">
        <v>330.54234818146506</v>
      </c>
      <c r="BA34" s="153" t="s">
        <v>211</v>
      </c>
      <c r="BB34" s="153">
        <v>7.0896161084206764</v>
      </c>
      <c r="BC34" s="154"/>
      <c r="BD34" s="154">
        <v>230.48836647043848</v>
      </c>
      <c r="BE34" s="153" t="s">
        <v>211</v>
      </c>
      <c r="BF34" s="153">
        <v>1.1667855143532675</v>
      </c>
      <c r="BG34" s="154" t="s">
        <v>211</v>
      </c>
      <c r="BH34" s="154">
        <v>8.4245334909554241</v>
      </c>
      <c r="BI34" s="153"/>
      <c r="BJ34" s="153">
        <v>273.03024393773569</v>
      </c>
      <c r="BK34" s="154"/>
      <c r="BL34" s="154">
        <v>501.51768495212139</v>
      </c>
      <c r="BM34" s="153"/>
      <c r="BN34" s="153">
        <v>168.87075743671414</v>
      </c>
      <c r="BO34" s="154"/>
      <c r="BP34" s="154">
        <v>167.54708595666781</v>
      </c>
      <c r="BQ34" s="153" t="s">
        <v>212</v>
      </c>
      <c r="BR34" s="153">
        <v>20.73352632681825</v>
      </c>
      <c r="BS34" s="154" t="s">
        <v>211</v>
      </c>
      <c r="BT34" s="154">
        <v>12.853746297219104</v>
      </c>
      <c r="BU34" s="153" t="s">
        <v>212</v>
      </c>
      <c r="BV34" s="153">
        <v>9.0650475784290698</v>
      </c>
      <c r="BW34" s="154"/>
      <c r="BX34" s="154">
        <v>38.790065212731534</v>
      </c>
      <c r="BY34" s="153"/>
      <c r="BZ34" s="153">
        <v>132.83496833675591</v>
      </c>
      <c r="CA34" s="154"/>
      <c r="CB34" s="154">
        <v>85.596601060460401</v>
      </c>
      <c r="CC34" s="153" t="s">
        <v>212</v>
      </c>
      <c r="CD34" s="153">
        <v>74.513860931172744</v>
      </c>
      <c r="CE34" s="154"/>
      <c r="CF34" s="154">
        <v>85.252432793867015</v>
      </c>
      <c r="CG34" s="153"/>
      <c r="CH34" s="153">
        <v>44.940110626393626</v>
      </c>
      <c r="CI34" s="154"/>
      <c r="CJ34" s="154">
        <v>127.5902141600571</v>
      </c>
      <c r="CK34" s="153"/>
      <c r="CL34" s="153">
        <v>164.17540269593283</v>
      </c>
      <c r="CM34" s="154" t="s">
        <v>211</v>
      </c>
      <c r="CN34" s="154">
        <v>0.3586722720062569</v>
      </c>
      <c r="CO34" s="153" t="s">
        <v>211</v>
      </c>
      <c r="CP34" s="153">
        <v>0</v>
      </c>
      <c r="CS34" s="246" t="s">
        <v>219</v>
      </c>
      <c r="CT34" s="246">
        <v>0.330638908472982</v>
      </c>
    </row>
    <row r="35" spans="1:104" x14ac:dyDescent="0.2">
      <c r="A35" s="110">
        <v>2019</v>
      </c>
      <c r="B35" s="106" t="s">
        <v>162</v>
      </c>
      <c r="C35" s="156"/>
      <c r="D35" s="156">
        <v>6400.1266100850598</v>
      </c>
      <c r="E35" s="155"/>
      <c r="F35" s="155">
        <v>406.72228946807724</v>
      </c>
      <c r="G35" s="156"/>
      <c r="H35" s="156">
        <v>121.18017572723225</v>
      </c>
      <c r="I35" s="155"/>
      <c r="J35" s="155">
        <v>654.96411754837175</v>
      </c>
      <c r="K35" s="156" t="s">
        <v>212</v>
      </c>
      <c r="L35" s="156">
        <v>31.766736801542539</v>
      </c>
      <c r="M35" s="155"/>
      <c r="N35" s="155">
        <v>26.416807695611922</v>
      </c>
      <c r="O35" s="154"/>
      <c r="P35" s="154">
        <v>553.64260965756569</v>
      </c>
      <c r="Q35" s="153"/>
      <c r="R35" s="153">
        <v>1097.0750646950196</v>
      </c>
      <c r="S35" s="154"/>
      <c r="T35" s="154">
        <v>387.87628613358811</v>
      </c>
      <c r="U35" s="153"/>
      <c r="V35" s="153">
        <v>325.94076073350806</v>
      </c>
      <c r="W35" s="154"/>
      <c r="X35" s="154">
        <v>128.49233548736137</v>
      </c>
      <c r="Y35" s="153"/>
      <c r="Z35" s="153">
        <v>151.15653171605797</v>
      </c>
      <c r="AA35" s="154"/>
      <c r="AB35" s="154">
        <v>52.815916457082565</v>
      </c>
      <c r="AC35" s="153"/>
      <c r="AD35" s="153">
        <v>263.69081728430513</v>
      </c>
      <c r="AE35" s="154"/>
      <c r="AF35" s="154">
        <v>444.66159536341911</v>
      </c>
      <c r="AG35" s="153"/>
      <c r="AH35" s="153">
        <v>649.91447836350017</v>
      </c>
      <c r="AI35" s="154"/>
      <c r="AJ35" s="154">
        <v>446.14092229754851</v>
      </c>
      <c r="AK35" s="153"/>
      <c r="AL35" s="153">
        <v>264.58253699066597</v>
      </c>
      <c r="AM35" s="154"/>
      <c r="AN35" s="154">
        <v>67.854478688238316</v>
      </c>
      <c r="AO35" s="153"/>
      <c r="AP35" s="153">
        <v>147.85307195451114</v>
      </c>
      <c r="AQ35" s="154"/>
      <c r="AR35" s="154">
        <v>175.45031465875672</v>
      </c>
      <c r="AS35" s="153" t="s">
        <v>211</v>
      </c>
      <c r="AT35" s="153">
        <v>1.9287623630952679</v>
      </c>
      <c r="AU35" s="154" t="s">
        <v>211</v>
      </c>
      <c r="AV35" s="154">
        <v>0</v>
      </c>
      <c r="AW35" s="153"/>
      <c r="AX35" s="153">
        <v>2478.9833434985767</v>
      </c>
      <c r="AY35" s="154"/>
      <c r="AZ35" s="154">
        <v>323.416426825401</v>
      </c>
      <c r="BA35" s="153" t="s">
        <v>211</v>
      </c>
      <c r="BB35" s="153">
        <v>7.8869304766396633</v>
      </c>
      <c r="BC35" s="154"/>
      <c r="BD35" s="154">
        <v>227.30890687908783</v>
      </c>
      <c r="BE35" s="153" t="s">
        <v>211</v>
      </c>
      <c r="BF35" s="153">
        <v>1.3784356116763372</v>
      </c>
      <c r="BG35" s="154" t="s">
        <v>211</v>
      </c>
      <c r="BH35" s="154">
        <v>8.1168316117094843</v>
      </c>
      <c r="BI35" s="153"/>
      <c r="BJ35" s="153">
        <v>260.75930113034144</v>
      </c>
      <c r="BK35" s="154"/>
      <c r="BL35" s="154">
        <v>494.89648729070763</v>
      </c>
      <c r="BM35" s="153"/>
      <c r="BN35" s="153">
        <v>177.14678574595197</v>
      </c>
      <c r="BO35" s="154"/>
      <c r="BP35" s="154">
        <v>171.36602300773399</v>
      </c>
      <c r="BQ35" s="153" t="s">
        <v>212</v>
      </c>
      <c r="BR35" s="153">
        <v>16.02387222046104</v>
      </c>
      <c r="BS35" s="154" t="s">
        <v>211</v>
      </c>
      <c r="BT35" s="154">
        <v>14.115911939782247</v>
      </c>
      <c r="BU35" s="153" t="s">
        <v>212</v>
      </c>
      <c r="BV35" s="153">
        <v>9.5421873023140051</v>
      </c>
      <c r="BW35" s="154"/>
      <c r="BX35" s="154">
        <v>42.624997115522426</v>
      </c>
      <c r="BY35" s="153"/>
      <c r="BZ35" s="153">
        <v>130.56698928373083</v>
      </c>
      <c r="CA35" s="154"/>
      <c r="CB35" s="154">
        <v>86.982172079701954</v>
      </c>
      <c r="CC35" s="153" t="s">
        <v>212</v>
      </c>
      <c r="CD35" s="153">
        <v>71.72446024025777</v>
      </c>
      <c r="CE35" s="154"/>
      <c r="CF35" s="154">
        <v>82.586374422235608</v>
      </c>
      <c r="CG35" s="153"/>
      <c r="CH35" s="153">
        <v>51.650627390081802</v>
      </c>
      <c r="CI35" s="154"/>
      <c r="CJ35" s="154">
        <v>133.90140636503062</v>
      </c>
      <c r="CK35" s="153"/>
      <c r="CL35" s="153">
        <v>166.21541369122957</v>
      </c>
      <c r="CM35" s="154" t="s">
        <v>211</v>
      </c>
      <c r="CN35" s="154">
        <v>0.77280286897970019</v>
      </c>
      <c r="CO35" s="153" t="s">
        <v>211</v>
      </c>
      <c r="CP35" s="153">
        <v>0</v>
      </c>
      <c r="CS35" s="246" t="s">
        <v>513</v>
      </c>
      <c r="CT35" s="246">
        <v>0.33425391539984367</v>
      </c>
    </row>
    <row r="36" spans="1:104" x14ac:dyDescent="0.2">
      <c r="A36" s="110">
        <v>2019</v>
      </c>
      <c r="B36" s="106" t="s">
        <v>173</v>
      </c>
      <c r="C36" s="156"/>
      <c r="D36" s="156">
        <v>6418.0231777234012</v>
      </c>
      <c r="E36" s="155"/>
      <c r="F36" s="155">
        <v>386.18282375312833</v>
      </c>
      <c r="G36" s="156"/>
      <c r="H36" s="156">
        <v>115.958712245857</v>
      </c>
      <c r="I36" s="155"/>
      <c r="J36" s="155">
        <v>664.73580045134315</v>
      </c>
      <c r="K36" s="156" t="s">
        <v>212</v>
      </c>
      <c r="L36" s="156">
        <v>28.797528933335986</v>
      </c>
      <c r="M36" s="155"/>
      <c r="N36" s="155">
        <v>31.935892629333232</v>
      </c>
      <c r="O36" s="154"/>
      <c r="P36" s="154">
        <v>559.86616372723847</v>
      </c>
      <c r="Q36" s="153"/>
      <c r="R36" s="153">
        <v>1108.797207949656</v>
      </c>
      <c r="S36" s="154"/>
      <c r="T36" s="154">
        <v>400.52085724559061</v>
      </c>
      <c r="U36" s="153"/>
      <c r="V36" s="153">
        <v>316.90791224613525</v>
      </c>
      <c r="W36" s="154"/>
      <c r="X36" s="154">
        <v>137.36832874481689</v>
      </c>
      <c r="Y36" s="153"/>
      <c r="Z36" s="153">
        <v>153.68609905156151</v>
      </c>
      <c r="AA36" s="154"/>
      <c r="AB36" s="154">
        <v>58.747933366035724</v>
      </c>
      <c r="AC36" s="153"/>
      <c r="AD36" s="153">
        <v>266.56684543222065</v>
      </c>
      <c r="AE36" s="154"/>
      <c r="AF36" s="154">
        <v>415.47404329549687</v>
      </c>
      <c r="AG36" s="153"/>
      <c r="AH36" s="153">
        <v>673.59413872527853</v>
      </c>
      <c r="AI36" s="154"/>
      <c r="AJ36" s="154">
        <v>450.76381705427696</v>
      </c>
      <c r="AK36" s="153"/>
      <c r="AL36" s="153">
        <v>264.39600389439914</v>
      </c>
      <c r="AM36" s="154"/>
      <c r="AN36" s="154">
        <v>68.386727301319183</v>
      </c>
      <c r="AO36" s="153"/>
      <c r="AP36" s="153">
        <v>141.61337417167616</v>
      </c>
      <c r="AQ36" s="154"/>
      <c r="AR36" s="154">
        <v>171.6853151380881</v>
      </c>
      <c r="AS36" s="153" t="s">
        <v>211</v>
      </c>
      <c r="AT36" s="153">
        <v>2.0376523666129578</v>
      </c>
      <c r="AU36" s="154" t="s">
        <v>211</v>
      </c>
      <c r="AV36" s="154">
        <v>0</v>
      </c>
      <c r="AW36" s="153"/>
      <c r="AX36" s="153">
        <v>2497.9937021217688</v>
      </c>
      <c r="AY36" s="154"/>
      <c r="AZ36" s="154">
        <v>304.78076754708394</v>
      </c>
      <c r="BA36" s="153" t="s">
        <v>211</v>
      </c>
      <c r="BB36" s="153">
        <v>6.1377351755166885</v>
      </c>
      <c r="BC36" s="154"/>
      <c r="BD36" s="154">
        <v>216.70671337531209</v>
      </c>
      <c r="BE36" s="153" t="s">
        <v>211</v>
      </c>
      <c r="BF36" s="153">
        <v>1.9617770485337949</v>
      </c>
      <c r="BG36" s="154" t="s">
        <v>211</v>
      </c>
      <c r="BH36" s="154">
        <v>13.271027264048447</v>
      </c>
      <c r="BI36" s="153"/>
      <c r="BJ36" s="153">
        <v>278.12424654090393</v>
      </c>
      <c r="BK36" s="154"/>
      <c r="BL36" s="154">
        <v>519.86746952143722</v>
      </c>
      <c r="BM36" s="153"/>
      <c r="BN36" s="153">
        <v>195.48398824855877</v>
      </c>
      <c r="BO36" s="154"/>
      <c r="BP36" s="154">
        <v>162.61812677793168</v>
      </c>
      <c r="BQ36" s="153" t="s">
        <v>211</v>
      </c>
      <c r="BR36" s="153">
        <v>12.369070901849479</v>
      </c>
      <c r="BS36" s="154" t="s">
        <v>211</v>
      </c>
      <c r="BT36" s="154">
        <v>8.2174297926325242</v>
      </c>
      <c r="BU36" s="153" t="s">
        <v>212</v>
      </c>
      <c r="BV36" s="153">
        <v>10.098536139648148</v>
      </c>
      <c r="BW36" s="154"/>
      <c r="BX36" s="154">
        <v>44.267304383739244</v>
      </c>
      <c r="BY36" s="153"/>
      <c r="BZ36" s="153">
        <v>129.32234534462251</v>
      </c>
      <c r="CA36" s="154"/>
      <c r="CB36" s="154">
        <v>77.60325361892788</v>
      </c>
      <c r="CC36" s="153" t="s">
        <v>212</v>
      </c>
      <c r="CD36" s="153">
        <v>82.601648685977167</v>
      </c>
      <c r="CE36" s="154"/>
      <c r="CF36" s="154">
        <v>84.872042413807435</v>
      </c>
      <c r="CG36" s="153"/>
      <c r="CH36" s="153">
        <v>42.536282835775225</v>
      </c>
      <c r="CI36" s="154"/>
      <c r="CJ36" s="154">
        <v>135.15425995028872</v>
      </c>
      <c r="CK36" s="153"/>
      <c r="CL36" s="153">
        <v>171.59753415437936</v>
      </c>
      <c r="CM36" s="154" t="s">
        <v>211</v>
      </c>
      <c r="CN36" s="154">
        <v>0.40214240079431818</v>
      </c>
      <c r="CO36" s="153" t="s">
        <v>211</v>
      </c>
      <c r="CP36" s="153">
        <v>0</v>
      </c>
      <c r="CS36" s="246" t="s">
        <v>218</v>
      </c>
      <c r="CT36" s="246">
        <v>0.33487049082796849</v>
      </c>
    </row>
    <row r="37" spans="1:104" x14ac:dyDescent="0.2">
      <c r="A37" s="110">
        <v>2019</v>
      </c>
      <c r="B37" s="106" t="s">
        <v>172</v>
      </c>
      <c r="C37" s="156"/>
      <c r="D37" s="156">
        <v>6425.1635961309539</v>
      </c>
      <c r="E37" s="155"/>
      <c r="F37" s="155">
        <v>367.35410934133898</v>
      </c>
      <c r="G37" s="156"/>
      <c r="H37" s="156">
        <v>115.24764092779895</v>
      </c>
      <c r="I37" s="155"/>
      <c r="J37" s="155">
        <v>645.73127226935719</v>
      </c>
      <c r="K37" s="156" t="s">
        <v>212</v>
      </c>
      <c r="L37" s="156">
        <v>29.498747486700214</v>
      </c>
      <c r="M37" s="155"/>
      <c r="N37" s="155">
        <v>38.299152249456455</v>
      </c>
      <c r="O37" s="154"/>
      <c r="P37" s="154">
        <v>572.87963529738488</v>
      </c>
      <c r="Q37" s="153"/>
      <c r="R37" s="153">
        <v>1104.9869843058309</v>
      </c>
      <c r="S37" s="154"/>
      <c r="T37" s="154">
        <v>395.95103063754954</v>
      </c>
      <c r="U37" s="153"/>
      <c r="V37" s="153">
        <v>326.89951601322474</v>
      </c>
      <c r="W37" s="154"/>
      <c r="X37" s="154">
        <v>136.52706632279194</v>
      </c>
      <c r="Y37" s="153"/>
      <c r="Z37" s="153">
        <v>153.91738036046985</v>
      </c>
      <c r="AA37" s="154"/>
      <c r="AB37" s="154">
        <v>62.971063608050073</v>
      </c>
      <c r="AC37" s="153"/>
      <c r="AD37" s="153">
        <v>264.61244143431878</v>
      </c>
      <c r="AE37" s="154"/>
      <c r="AF37" s="154">
        <v>388.94779111675916</v>
      </c>
      <c r="AG37" s="153"/>
      <c r="AH37" s="153">
        <v>707.29560582218312</v>
      </c>
      <c r="AI37" s="154"/>
      <c r="AJ37" s="154">
        <v>455.33141152320775</v>
      </c>
      <c r="AK37" s="153"/>
      <c r="AL37" s="153">
        <v>263.69549187664893</v>
      </c>
      <c r="AM37" s="154"/>
      <c r="AN37" s="154">
        <v>70.741653631731779</v>
      </c>
      <c r="AO37" s="153"/>
      <c r="AP37" s="153">
        <v>140.72036171069954</v>
      </c>
      <c r="AQ37" s="154"/>
      <c r="AR37" s="154">
        <v>181.97303783753298</v>
      </c>
      <c r="AS37" s="153" t="s">
        <v>211</v>
      </c>
      <c r="AT37" s="153">
        <v>1.5822023579178606</v>
      </c>
      <c r="AU37" s="154" t="s">
        <v>211</v>
      </c>
      <c r="AV37" s="154">
        <v>0</v>
      </c>
      <c r="AW37" s="153"/>
      <c r="AX37" s="153">
        <v>2500.1111444908938</v>
      </c>
      <c r="AY37" s="154"/>
      <c r="AZ37" s="154">
        <v>285.8684374005465</v>
      </c>
      <c r="BA37" s="153" t="s">
        <v>211</v>
      </c>
      <c r="BB37" s="153">
        <v>5.1845511441616878</v>
      </c>
      <c r="BC37" s="154"/>
      <c r="BD37" s="154">
        <v>208.97263517403897</v>
      </c>
      <c r="BE37" s="153" t="s">
        <v>211</v>
      </c>
      <c r="BF37" s="153">
        <v>1.8111585541201758</v>
      </c>
      <c r="BG37" s="154" t="s">
        <v>211</v>
      </c>
      <c r="BH37" s="154">
        <v>11.829305650157721</v>
      </c>
      <c r="BI37" s="153"/>
      <c r="BJ37" s="153">
        <v>278.59222212618096</v>
      </c>
      <c r="BK37" s="154"/>
      <c r="BL37" s="154">
        <v>559.69788474471773</v>
      </c>
      <c r="BM37" s="153"/>
      <c r="BN37" s="153">
        <v>194.54278153467422</v>
      </c>
      <c r="BO37" s="154"/>
      <c r="BP37" s="154">
        <v>161.95043291757304</v>
      </c>
      <c r="BQ37" s="153" t="s">
        <v>211</v>
      </c>
      <c r="BR37" s="153">
        <v>12.379387083735581</v>
      </c>
      <c r="BS37" s="154" t="s">
        <v>211</v>
      </c>
      <c r="BT37" s="154">
        <v>8.0839850814699012</v>
      </c>
      <c r="BU37" s="153" t="s">
        <v>212</v>
      </c>
      <c r="BV37" s="153">
        <v>10.217111060948161</v>
      </c>
      <c r="BW37" s="154"/>
      <c r="BX37" s="154">
        <v>40.65525078887471</v>
      </c>
      <c r="BY37" s="153"/>
      <c r="BZ37" s="153">
        <v>117.54285810328635</v>
      </c>
      <c r="CA37" s="154"/>
      <c r="CB37" s="154">
        <v>80.251502796773082</v>
      </c>
      <c r="CC37" s="153" t="s">
        <v>212</v>
      </c>
      <c r="CD37" s="153">
        <v>94.616127027681358</v>
      </c>
      <c r="CE37" s="154"/>
      <c r="CF37" s="154">
        <v>82.433800293924051</v>
      </c>
      <c r="CG37" s="153"/>
      <c r="CH37" s="153">
        <v>42.82064810163984</v>
      </c>
      <c r="CI37" s="154"/>
      <c r="CJ37" s="154">
        <v>124.8655580999164</v>
      </c>
      <c r="CK37" s="153"/>
      <c r="CL37" s="153">
        <v>177.40893487534888</v>
      </c>
      <c r="CM37" s="154" t="s">
        <v>211</v>
      </c>
      <c r="CN37" s="154">
        <v>0.38657193112452248</v>
      </c>
      <c r="CO37" s="153" t="s">
        <v>211</v>
      </c>
      <c r="CP37" s="153">
        <v>0</v>
      </c>
      <c r="CS37" s="246" t="s">
        <v>217</v>
      </c>
      <c r="CT37" s="246">
        <v>0.34704540909672871</v>
      </c>
    </row>
    <row r="38" spans="1:104" x14ac:dyDescent="0.2">
      <c r="A38" s="110">
        <v>2019</v>
      </c>
      <c r="B38" s="106" t="s">
        <v>171</v>
      </c>
      <c r="C38" s="156"/>
      <c r="D38" s="156">
        <v>6412.0009088573679</v>
      </c>
      <c r="E38" s="155"/>
      <c r="F38" s="155">
        <v>352.62026046323479</v>
      </c>
      <c r="G38" s="156"/>
      <c r="H38" s="156">
        <v>115.69604270862357</v>
      </c>
      <c r="I38" s="155"/>
      <c r="J38" s="155">
        <v>635.66600383818434</v>
      </c>
      <c r="K38" s="156" t="s">
        <v>212</v>
      </c>
      <c r="L38" s="156">
        <v>24.78501582774231</v>
      </c>
      <c r="M38" s="155"/>
      <c r="N38" s="155">
        <v>41.786772745165067</v>
      </c>
      <c r="O38" s="154"/>
      <c r="P38" s="154">
        <v>573.30155004646247</v>
      </c>
      <c r="Q38" s="153"/>
      <c r="R38" s="153">
        <v>1102.9074908823602</v>
      </c>
      <c r="S38" s="154"/>
      <c r="T38" s="154">
        <v>396.30459285942675</v>
      </c>
      <c r="U38" s="153"/>
      <c r="V38" s="153">
        <v>324.83152316297969</v>
      </c>
      <c r="W38" s="154"/>
      <c r="X38" s="154">
        <v>135.54570924580668</v>
      </c>
      <c r="Y38" s="153"/>
      <c r="Z38" s="153">
        <v>153.60588694461248</v>
      </c>
      <c r="AA38" s="154"/>
      <c r="AB38" s="154">
        <v>60.776610470632747</v>
      </c>
      <c r="AC38" s="153"/>
      <c r="AD38" s="153">
        <v>278.84403434372604</v>
      </c>
      <c r="AE38" s="154"/>
      <c r="AF38" s="154">
        <v>386.2704177878407</v>
      </c>
      <c r="AG38" s="153"/>
      <c r="AH38" s="153">
        <v>700.28402427958429</v>
      </c>
      <c r="AI38" s="154"/>
      <c r="AJ38" s="154">
        <v>461.95870601758264</v>
      </c>
      <c r="AK38" s="153"/>
      <c r="AL38" s="153">
        <v>278.01897187215968</v>
      </c>
      <c r="AM38" s="154"/>
      <c r="AN38" s="154">
        <v>68.739927809254127</v>
      </c>
      <c r="AO38" s="153"/>
      <c r="AP38" s="153">
        <v>130.35678920595589</v>
      </c>
      <c r="AQ38" s="154"/>
      <c r="AR38" s="154">
        <v>187.93224850532644</v>
      </c>
      <c r="AS38" s="153" t="s">
        <v>211</v>
      </c>
      <c r="AT38" s="153">
        <v>1.7683298407071395</v>
      </c>
      <c r="AU38" s="154" t="s">
        <v>211</v>
      </c>
      <c r="AV38" s="154">
        <v>0</v>
      </c>
      <c r="AW38" s="153"/>
      <c r="AX38" s="153">
        <v>2510.6068473032474</v>
      </c>
      <c r="AY38" s="154"/>
      <c r="AZ38" s="154">
        <v>268.94909999033581</v>
      </c>
      <c r="BA38" s="153" t="s">
        <v>211</v>
      </c>
      <c r="BB38" s="153">
        <v>6.1963694103790941</v>
      </c>
      <c r="BC38" s="154"/>
      <c r="BD38" s="154">
        <v>210.87750858228645</v>
      </c>
      <c r="BE38" s="153" t="s">
        <v>211</v>
      </c>
      <c r="BF38" s="153">
        <v>1.0625182352546225</v>
      </c>
      <c r="BG38" s="154" t="s">
        <v>211</v>
      </c>
      <c r="BH38" s="154">
        <v>11.01067174997295</v>
      </c>
      <c r="BI38" s="153"/>
      <c r="BJ38" s="153">
        <v>284.83089220627124</v>
      </c>
      <c r="BK38" s="154"/>
      <c r="BL38" s="154">
        <v>574.65546288054725</v>
      </c>
      <c r="BM38" s="153"/>
      <c r="BN38" s="153">
        <v>186.65372479504416</v>
      </c>
      <c r="BO38" s="154"/>
      <c r="BP38" s="154">
        <v>168.16888446226147</v>
      </c>
      <c r="BQ38" s="153" t="s">
        <v>211</v>
      </c>
      <c r="BR38" s="153">
        <v>13.912718014154891</v>
      </c>
      <c r="BS38" s="154" t="s">
        <v>211</v>
      </c>
      <c r="BT38" s="154">
        <v>5.7643632193252126</v>
      </c>
      <c r="BU38" s="153" t="s">
        <v>211</v>
      </c>
      <c r="BV38" s="153">
        <v>10.199538059482373</v>
      </c>
      <c r="BW38" s="154"/>
      <c r="BX38" s="154">
        <v>39.50799829998622</v>
      </c>
      <c r="BY38" s="153"/>
      <c r="BZ38" s="153">
        <v>117.67084386866723</v>
      </c>
      <c r="CA38" s="154"/>
      <c r="CB38" s="154">
        <v>89.575122097558136</v>
      </c>
      <c r="CC38" s="153"/>
      <c r="CD38" s="153">
        <v>99.247599465300226</v>
      </c>
      <c r="CE38" s="154"/>
      <c r="CF38" s="154">
        <v>83.996722567559203</v>
      </c>
      <c r="CG38" s="153"/>
      <c r="CH38" s="153">
        <v>42.869344320493809</v>
      </c>
      <c r="CI38" s="154"/>
      <c r="CJ38" s="154">
        <v>115.8997892183441</v>
      </c>
      <c r="CK38" s="153"/>
      <c r="CL38" s="153">
        <v>179.5576758600229</v>
      </c>
      <c r="CM38" s="154" t="s">
        <v>211</v>
      </c>
      <c r="CN38" s="154">
        <v>0</v>
      </c>
      <c r="CO38" s="153" t="s">
        <v>211</v>
      </c>
      <c r="CP38" s="153">
        <v>0</v>
      </c>
      <c r="CS38" s="246" t="s">
        <v>216</v>
      </c>
      <c r="CT38" s="246">
        <v>0.38076120150591064</v>
      </c>
    </row>
    <row r="39" spans="1:104" x14ac:dyDescent="0.2">
      <c r="A39" s="110">
        <v>2019</v>
      </c>
      <c r="B39" s="106" t="s">
        <v>170</v>
      </c>
      <c r="C39" s="156"/>
      <c r="D39" s="156">
        <v>6405.8362832534222</v>
      </c>
      <c r="E39" s="155"/>
      <c r="F39" s="155">
        <v>354.94596431046398</v>
      </c>
      <c r="G39" s="156"/>
      <c r="H39" s="156">
        <v>114.50685917535087</v>
      </c>
      <c r="I39" s="155"/>
      <c r="J39" s="155">
        <v>607.02438947486826</v>
      </c>
      <c r="K39" s="156" t="s">
        <v>212</v>
      </c>
      <c r="L39" s="156">
        <v>24.800875553544614</v>
      </c>
      <c r="M39" s="155"/>
      <c r="N39" s="155">
        <v>44.616449778920796</v>
      </c>
      <c r="O39" s="154"/>
      <c r="P39" s="154">
        <v>587.5719654215419</v>
      </c>
      <c r="Q39" s="153"/>
      <c r="R39" s="153">
        <v>1090.9011206153491</v>
      </c>
      <c r="S39" s="154"/>
      <c r="T39" s="154">
        <v>387.84636734531659</v>
      </c>
      <c r="U39" s="153"/>
      <c r="V39" s="153">
        <v>348.04095758033714</v>
      </c>
      <c r="W39" s="154"/>
      <c r="X39" s="154">
        <v>126.59454965255136</v>
      </c>
      <c r="Y39" s="153"/>
      <c r="Z39" s="153">
        <v>150.0444777965989</v>
      </c>
      <c r="AA39" s="154"/>
      <c r="AB39" s="154">
        <v>57.973755784369992</v>
      </c>
      <c r="AC39" s="153"/>
      <c r="AD39" s="153">
        <v>264.36554479994101</v>
      </c>
      <c r="AE39" s="154"/>
      <c r="AF39" s="154">
        <v>415.84552904004181</v>
      </c>
      <c r="AG39" s="153"/>
      <c r="AH39" s="153">
        <v>719.22969884838312</v>
      </c>
      <c r="AI39" s="154"/>
      <c r="AJ39" s="154">
        <v>460.35290588333703</v>
      </c>
      <c r="AK39" s="153"/>
      <c r="AL39" s="153">
        <v>277.94888444021291</v>
      </c>
      <c r="AM39" s="154"/>
      <c r="AN39" s="154">
        <v>71.780814180208992</v>
      </c>
      <c r="AO39" s="153"/>
      <c r="AP39" s="153">
        <v>133.43523027481299</v>
      </c>
      <c r="AQ39" s="154"/>
      <c r="AR39" s="154">
        <v>167.36112319294509</v>
      </c>
      <c r="AS39" s="153" t="s">
        <v>211</v>
      </c>
      <c r="AT39" s="153">
        <v>0.64882010432536896</v>
      </c>
      <c r="AU39" s="154" t="s">
        <v>211</v>
      </c>
      <c r="AV39" s="154">
        <v>0</v>
      </c>
      <c r="AW39" s="153"/>
      <c r="AX39" s="153">
        <v>2504.7217459490507</v>
      </c>
      <c r="AY39" s="154"/>
      <c r="AZ39" s="154">
        <v>260.15562067330723</v>
      </c>
      <c r="BA39" s="153" t="s">
        <v>211</v>
      </c>
      <c r="BB39" s="153">
        <v>7.1130960604371998</v>
      </c>
      <c r="BC39" s="154"/>
      <c r="BD39" s="154">
        <v>214.36620252172065</v>
      </c>
      <c r="BE39" s="153" t="s">
        <v>211</v>
      </c>
      <c r="BF39" s="153">
        <v>1.0092502225284896</v>
      </c>
      <c r="BG39" s="154" t="s">
        <v>211</v>
      </c>
      <c r="BH39" s="154">
        <v>7.6959673906396038</v>
      </c>
      <c r="BI39" s="153"/>
      <c r="BJ39" s="153">
        <v>269.24847812032556</v>
      </c>
      <c r="BK39" s="154"/>
      <c r="BL39" s="154">
        <v>577.62653098538885</v>
      </c>
      <c r="BM39" s="153"/>
      <c r="BN39" s="153">
        <v>185.24099642087899</v>
      </c>
      <c r="BO39" s="154"/>
      <c r="BP39" s="154">
        <v>155.74996359766155</v>
      </c>
      <c r="BQ39" s="153" t="s">
        <v>211</v>
      </c>
      <c r="BR39" s="153">
        <v>14.62267625451025</v>
      </c>
      <c r="BS39" s="154" t="s">
        <v>211</v>
      </c>
      <c r="BT39" s="154">
        <v>7.4252710429983733</v>
      </c>
      <c r="BU39" s="153" t="s">
        <v>211</v>
      </c>
      <c r="BV39" s="153">
        <v>7.8659460958971943</v>
      </c>
      <c r="BW39" s="154"/>
      <c r="BX39" s="154">
        <v>39.648272276559354</v>
      </c>
      <c r="BY39" s="153"/>
      <c r="BZ39" s="153">
        <v>115.68256859948941</v>
      </c>
      <c r="CA39" s="154"/>
      <c r="CB39" s="154">
        <v>97.713899638190924</v>
      </c>
      <c r="CC39" s="153"/>
      <c r="CD39" s="153">
        <v>93.879177405119449</v>
      </c>
      <c r="CE39" s="154"/>
      <c r="CF39" s="154">
        <v>101.99351321647048</v>
      </c>
      <c r="CG39" s="153"/>
      <c r="CH39" s="153">
        <v>46.921646452803273</v>
      </c>
      <c r="CI39" s="154"/>
      <c r="CJ39" s="154">
        <v>119.38227544897394</v>
      </c>
      <c r="CK39" s="153"/>
      <c r="CL39" s="153">
        <v>181.2798619981894</v>
      </c>
      <c r="CM39" s="154" t="s">
        <v>211</v>
      </c>
      <c r="CN39" s="154">
        <v>0.10053152696081355</v>
      </c>
      <c r="CO39" s="153" t="s">
        <v>211</v>
      </c>
      <c r="CP39" s="153">
        <v>0</v>
      </c>
      <c r="CS39" s="246" t="s">
        <v>215</v>
      </c>
      <c r="CT39" s="246">
        <v>0.43714022899125671</v>
      </c>
    </row>
    <row r="40" spans="1:104" x14ac:dyDescent="0.2">
      <c r="A40" s="110">
        <v>2019</v>
      </c>
      <c r="B40" s="106" t="s">
        <v>169</v>
      </c>
      <c r="C40" s="156"/>
      <c r="D40" s="156">
        <v>6408.2244217385514</v>
      </c>
      <c r="E40" s="155"/>
      <c r="F40" s="155">
        <v>371.00107454087265</v>
      </c>
      <c r="G40" s="156"/>
      <c r="H40" s="156">
        <v>112.29893940885219</v>
      </c>
      <c r="I40" s="155"/>
      <c r="J40" s="155">
        <v>606.57461529798502</v>
      </c>
      <c r="K40" s="156" t="s">
        <v>212</v>
      </c>
      <c r="L40" s="156">
        <v>22.156818656212682</v>
      </c>
      <c r="M40" s="155"/>
      <c r="N40" s="155">
        <v>47.172187282463014</v>
      </c>
      <c r="O40" s="154"/>
      <c r="P40" s="154">
        <v>582.62586735636182</v>
      </c>
      <c r="Q40" s="153"/>
      <c r="R40" s="153">
        <v>1074.0816237144161</v>
      </c>
      <c r="S40" s="154"/>
      <c r="T40" s="154">
        <v>383.93141097282927</v>
      </c>
      <c r="U40" s="153"/>
      <c r="V40" s="153">
        <v>348.33375182621819</v>
      </c>
      <c r="W40" s="154"/>
      <c r="X40" s="154">
        <v>128.58729317993735</v>
      </c>
      <c r="Y40" s="153"/>
      <c r="Z40" s="153">
        <v>144.25259003935474</v>
      </c>
      <c r="AA40" s="154"/>
      <c r="AB40" s="154">
        <v>55.337622526368648</v>
      </c>
      <c r="AC40" s="153"/>
      <c r="AD40" s="153">
        <v>268.42353566522502</v>
      </c>
      <c r="AE40" s="154"/>
      <c r="AF40" s="154">
        <v>422.17737438834587</v>
      </c>
      <c r="AG40" s="153"/>
      <c r="AH40" s="153">
        <v>711.13532619628654</v>
      </c>
      <c r="AI40" s="154"/>
      <c r="AJ40" s="154">
        <v>463.11748330547772</v>
      </c>
      <c r="AK40" s="153"/>
      <c r="AL40" s="153">
        <v>280.83370304509407</v>
      </c>
      <c r="AM40" s="154"/>
      <c r="AN40" s="154">
        <v>72.651128006269772</v>
      </c>
      <c r="AO40" s="153"/>
      <c r="AP40" s="153">
        <v>138.19727148248185</v>
      </c>
      <c r="AQ40" s="154"/>
      <c r="AR40" s="154">
        <v>174.50590248017414</v>
      </c>
      <c r="AS40" s="153" t="s">
        <v>211</v>
      </c>
      <c r="AT40" s="153">
        <v>0.82890236732475953</v>
      </c>
      <c r="AU40" s="154" t="s">
        <v>211</v>
      </c>
      <c r="AV40" s="154">
        <v>0</v>
      </c>
      <c r="AW40" s="153"/>
      <c r="AX40" s="153">
        <v>2519.8247539375111</v>
      </c>
      <c r="AY40" s="154"/>
      <c r="AZ40" s="154">
        <v>257.75374728790291</v>
      </c>
      <c r="BA40" s="153" t="s">
        <v>211</v>
      </c>
      <c r="BB40" s="153">
        <v>7.8367438881440865</v>
      </c>
      <c r="BC40" s="154"/>
      <c r="BD40" s="154">
        <v>215.53564345903527</v>
      </c>
      <c r="BE40" s="153" t="s">
        <v>211</v>
      </c>
      <c r="BF40" s="153">
        <v>1.0720449466875221</v>
      </c>
      <c r="BG40" s="154" t="s">
        <v>211</v>
      </c>
      <c r="BH40" s="154">
        <v>7.6245694299052165</v>
      </c>
      <c r="BI40" s="153"/>
      <c r="BJ40" s="153">
        <v>264.60349934866349</v>
      </c>
      <c r="BK40" s="154"/>
      <c r="BL40" s="154">
        <v>574.04798409754119</v>
      </c>
      <c r="BM40" s="153"/>
      <c r="BN40" s="153">
        <v>184.42706863121577</v>
      </c>
      <c r="BO40" s="154"/>
      <c r="BP40" s="154">
        <v>155.74787459391212</v>
      </c>
      <c r="BQ40" s="153" t="s">
        <v>212</v>
      </c>
      <c r="BR40" s="153">
        <v>18.444387085311213</v>
      </c>
      <c r="BS40" s="154" t="s">
        <v>211</v>
      </c>
      <c r="BT40" s="154">
        <v>9.8384606586708578</v>
      </c>
      <c r="BU40" s="153" t="s">
        <v>212</v>
      </c>
      <c r="BV40" s="153">
        <v>10.18116573291716</v>
      </c>
      <c r="BW40" s="154"/>
      <c r="BX40" s="154">
        <v>44.229034414853963</v>
      </c>
      <c r="BY40" s="153"/>
      <c r="BZ40" s="153">
        <v>123.92541019542264</v>
      </c>
      <c r="CA40" s="154"/>
      <c r="CB40" s="154">
        <v>102.27098019474954</v>
      </c>
      <c r="CC40" s="153"/>
      <c r="CD40" s="153">
        <v>87.719510954570239</v>
      </c>
      <c r="CE40" s="154"/>
      <c r="CF40" s="154">
        <v>102.06755218129616</v>
      </c>
      <c r="CG40" s="153"/>
      <c r="CH40" s="153">
        <v>46.887187591371486</v>
      </c>
      <c r="CI40" s="154"/>
      <c r="CJ40" s="154">
        <v>127.10474551717758</v>
      </c>
      <c r="CK40" s="153"/>
      <c r="CL40" s="153">
        <v>178.34389682368163</v>
      </c>
      <c r="CM40" s="154" t="s">
        <v>211</v>
      </c>
      <c r="CN40" s="154">
        <v>0.16324690448112092</v>
      </c>
      <c r="CO40" s="153" t="s">
        <v>211</v>
      </c>
      <c r="CP40" s="153">
        <v>0</v>
      </c>
      <c r="CS40" s="246" t="s">
        <v>214</v>
      </c>
      <c r="CT40" s="246">
        <v>0.52556137206664288</v>
      </c>
    </row>
    <row r="41" spans="1:104" x14ac:dyDescent="0.2">
      <c r="A41" s="110">
        <v>2019</v>
      </c>
      <c r="B41" s="106" t="s">
        <v>168</v>
      </c>
      <c r="C41" s="156"/>
      <c r="D41" s="156">
        <v>6470.6374345275035</v>
      </c>
      <c r="E41" s="155"/>
      <c r="F41" s="155">
        <v>370.54596615310112</v>
      </c>
      <c r="G41" s="156"/>
      <c r="H41" s="156">
        <v>120.79665959176533</v>
      </c>
      <c r="I41" s="155"/>
      <c r="J41" s="155">
        <v>601.22663046017215</v>
      </c>
      <c r="K41" s="156" t="s">
        <v>212</v>
      </c>
      <c r="L41" s="156">
        <v>25.633713978167119</v>
      </c>
      <c r="M41" s="155"/>
      <c r="N41" s="155">
        <v>52.734048106755793</v>
      </c>
      <c r="O41" s="154"/>
      <c r="P41" s="154">
        <v>605.35051854512403</v>
      </c>
      <c r="Q41" s="153"/>
      <c r="R41" s="153">
        <v>1091.6124481729225</v>
      </c>
      <c r="S41" s="154"/>
      <c r="T41" s="154">
        <v>396.01269039425864</v>
      </c>
      <c r="U41" s="153"/>
      <c r="V41" s="153">
        <v>352.29316968177704</v>
      </c>
      <c r="W41" s="154"/>
      <c r="X41" s="154">
        <v>131.8340431896701</v>
      </c>
      <c r="Y41" s="153"/>
      <c r="Z41" s="153">
        <v>145.95279609837721</v>
      </c>
      <c r="AA41" s="154"/>
      <c r="AB41" s="154">
        <v>54.893649661199305</v>
      </c>
      <c r="AC41" s="153"/>
      <c r="AD41" s="153">
        <v>268.39048117009673</v>
      </c>
      <c r="AE41" s="154"/>
      <c r="AF41" s="154">
        <v>393.45141439674148</v>
      </c>
      <c r="AG41" s="153"/>
      <c r="AH41" s="153">
        <v>701.90135294957349</v>
      </c>
      <c r="AI41" s="154"/>
      <c r="AJ41" s="154">
        <v>471.4186346391736</v>
      </c>
      <c r="AK41" s="153"/>
      <c r="AL41" s="153">
        <v>278.73045697524395</v>
      </c>
      <c r="AM41" s="154"/>
      <c r="AN41" s="154">
        <v>85.264907239211738</v>
      </c>
      <c r="AO41" s="153"/>
      <c r="AP41" s="153">
        <v>138.36426375751</v>
      </c>
      <c r="AQ41" s="154"/>
      <c r="AR41" s="154">
        <v>183.8807139112474</v>
      </c>
      <c r="AS41" s="153" t="s">
        <v>211</v>
      </c>
      <c r="AT41" s="153">
        <v>0.34887545541445208</v>
      </c>
      <c r="AU41" s="154" t="s">
        <v>211</v>
      </c>
      <c r="AV41" s="154">
        <v>0</v>
      </c>
      <c r="AW41" s="153"/>
      <c r="AX41" s="153">
        <v>2529.4535208178704</v>
      </c>
      <c r="AY41" s="154"/>
      <c r="AZ41" s="154">
        <v>256.25406855653603</v>
      </c>
      <c r="BA41" s="153" t="s">
        <v>211</v>
      </c>
      <c r="BB41" s="153">
        <v>6.0582604158126978</v>
      </c>
      <c r="BC41" s="154"/>
      <c r="BD41" s="154">
        <v>207.44528315552779</v>
      </c>
      <c r="BE41" s="153" t="s">
        <v>211</v>
      </c>
      <c r="BF41" s="153">
        <v>1.539400463216956</v>
      </c>
      <c r="BG41" s="154" t="s">
        <v>211</v>
      </c>
      <c r="BH41" s="154">
        <v>8.826505464407612</v>
      </c>
      <c r="BI41" s="153"/>
      <c r="BJ41" s="153">
        <v>277.79727024691914</v>
      </c>
      <c r="BK41" s="154"/>
      <c r="BL41" s="154">
        <v>568.50137943413256</v>
      </c>
      <c r="BM41" s="153"/>
      <c r="BN41" s="153">
        <v>193.32463670340815</v>
      </c>
      <c r="BO41" s="154"/>
      <c r="BP41" s="154">
        <v>152.53865969810394</v>
      </c>
      <c r="BQ41" s="153" t="s">
        <v>212</v>
      </c>
      <c r="BR41" s="153">
        <v>16.482658505456431</v>
      </c>
      <c r="BS41" s="154" t="s">
        <v>211</v>
      </c>
      <c r="BT41" s="154">
        <v>9.2852982356739755</v>
      </c>
      <c r="BU41" s="153" t="s">
        <v>212</v>
      </c>
      <c r="BV41" s="153">
        <v>12.973690854354285</v>
      </c>
      <c r="BW41" s="154"/>
      <c r="BX41" s="154">
        <v>46.763883753343357</v>
      </c>
      <c r="BY41" s="153"/>
      <c r="BZ41" s="153">
        <v>114.87526166470722</v>
      </c>
      <c r="CA41" s="154"/>
      <c r="CB41" s="154">
        <v>95.541987689995807</v>
      </c>
      <c r="CC41" s="153" t="s">
        <v>212</v>
      </c>
      <c r="CD41" s="153">
        <v>88.469307919332167</v>
      </c>
      <c r="CE41" s="154"/>
      <c r="CF41" s="154">
        <v>109.98436479917935</v>
      </c>
      <c r="CG41" s="153"/>
      <c r="CH41" s="153">
        <v>42.248414198122887</v>
      </c>
      <c r="CI41" s="154"/>
      <c r="CJ41" s="154">
        <v>130.70672741631705</v>
      </c>
      <c r="CK41" s="153"/>
      <c r="CL41" s="153">
        <v>189.67793495748819</v>
      </c>
      <c r="CM41" s="154" t="s">
        <v>211</v>
      </c>
      <c r="CN41" s="154">
        <v>0.15852668583454421</v>
      </c>
      <c r="CO41" s="153" t="s">
        <v>211</v>
      </c>
      <c r="CP41" s="153">
        <v>0</v>
      </c>
      <c r="CS41" s="246" t="s">
        <v>213</v>
      </c>
      <c r="CT41" s="246">
        <v>0.60953977675697468</v>
      </c>
    </row>
    <row r="42" spans="1:104" x14ac:dyDescent="0.2">
      <c r="A42" s="110">
        <v>2019</v>
      </c>
      <c r="B42" s="106" t="s">
        <v>167</v>
      </c>
      <c r="C42" s="156"/>
      <c r="D42" s="156">
        <v>6425.2737142711212</v>
      </c>
      <c r="E42" s="155"/>
      <c r="F42" s="155">
        <v>374.12159856662748</v>
      </c>
      <c r="G42" s="156"/>
      <c r="H42" s="156">
        <v>119.5618233021937</v>
      </c>
      <c r="I42" s="155"/>
      <c r="J42" s="155">
        <v>609.38016579450505</v>
      </c>
      <c r="K42" s="156" t="s">
        <v>212</v>
      </c>
      <c r="L42" s="156">
        <v>26.956353795679515</v>
      </c>
      <c r="M42" s="155"/>
      <c r="N42" s="155">
        <v>49.585187356639295</v>
      </c>
      <c r="O42" s="154"/>
      <c r="P42" s="154">
        <v>602.60470129066346</v>
      </c>
      <c r="Q42" s="153"/>
      <c r="R42" s="153">
        <v>1091.1305965349445</v>
      </c>
      <c r="S42" s="154"/>
      <c r="T42" s="154">
        <v>401.93171618684073</v>
      </c>
      <c r="U42" s="153"/>
      <c r="V42" s="153">
        <v>350.57960437666719</v>
      </c>
      <c r="W42" s="154"/>
      <c r="X42" s="154">
        <v>123.47225372001009</v>
      </c>
      <c r="Y42" s="153"/>
      <c r="Z42" s="153">
        <v>152.14331645804467</v>
      </c>
      <c r="AA42" s="154"/>
      <c r="AB42" s="154">
        <v>56.719655453407753</v>
      </c>
      <c r="AC42" s="153"/>
      <c r="AD42" s="153">
        <v>289.74291600186928</v>
      </c>
      <c r="AE42" s="154"/>
      <c r="AF42" s="154">
        <v>354.26825221005043</v>
      </c>
      <c r="AG42" s="153"/>
      <c r="AH42" s="153">
        <v>670.76116486308285</v>
      </c>
      <c r="AI42" s="154"/>
      <c r="AJ42" s="154">
        <v>455.70602673282002</v>
      </c>
      <c r="AK42" s="153"/>
      <c r="AL42" s="153">
        <v>283.5226460094969</v>
      </c>
      <c r="AM42" s="154"/>
      <c r="AN42" s="154">
        <v>80.853263176157455</v>
      </c>
      <c r="AO42" s="153"/>
      <c r="AP42" s="153">
        <v>136.11797587977102</v>
      </c>
      <c r="AQ42" s="154"/>
      <c r="AR42" s="154">
        <v>194.45239809085723</v>
      </c>
      <c r="AS42" s="153" t="s">
        <v>211</v>
      </c>
      <c r="AT42" s="153">
        <v>1.3728294556489864</v>
      </c>
      <c r="AU42" s="154" t="s">
        <v>211</v>
      </c>
      <c r="AV42" s="154">
        <v>0</v>
      </c>
      <c r="AW42" s="153"/>
      <c r="AX42" s="153">
        <v>2569.0867145122343</v>
      </c>
      <c r="AY42" s="154"/>
      <c r="AZ42" s="154">
        <v>265.52179167896043</v>
      </c>
      <c r="BA42" s="153" t="s">
        <v>211</v>
      </c>
      <c r="BB42" s="153">
        <v>5.4143154539644991</v>
      </c>
      <c r="BC42" s="154"/>
      <c r="BD42" s="154">
        <v>199.30761620500462</v>
      </c>
      <c r="BE42" s="153" t="s">
        <v>211</v>
      </c>
      <c r="BF42" s="153">
        <v>0.79994982766324407</v>
      </c>
      <c r="BG42" s="154" t="s">
        <v>211</v>
      </c>
      <c r="BH42" s="154">
        <v>10.989267521205576</v>
      </c>
      <c r="BI42" s="153"/>
      <c r="BJ42" s="153">
        <v>296.61623545777644</v>
      </c>
      <c r="BK42" s="154"/>
      <c r="BL42" s="154">
        <v>556.3930397366986</v>
      </c>
      <c r="BM42" s="153"/>
      <c r="BN42" s="153">
        <v>204.95056834715467</v>
      </c>
      <c r="BO42" s="154"/>
      <c r="BP42" s="154">
        <v>157.3836474378561</v>
      </c>
      <c r="BQ42" s="153" t="s">
        <v>211</v>
      </c>
      <c r="BR42" s="153">
        <v>16.334167575792861</v>
      </c>
      <c r="BS42" s="154" t="s">
        <v>211</v>
      </c>
      <c r="BT42" s="154">
        <v>11.275867297156307</v>
      </c>
      <c r="BU42" s="153" t="s">
        <v>212</v>
      </c>
      <c r="BV42" s="153">
        <v>13.121686515270685</v>
      </c>
      <c r="BW42" s="154"/>
      <c r="BX42" s="154">
        <v>48.362805193424649</v>
      </c>
      <c r="BY42" s="153"/>
      <c r="BZ42" s="153">
        <v>125.07414362216673</v>
      </c>
      <c r="CA42" s="154"/>
      <c r="CB42" s="154">
        <v>94.261349068770826</v>
      </c>
      <c r="CC42" s="153" t="s">
        <v>212</v>
      </c>
      <c r="CD42" s="153">
        <v>88.978659168921041</v>
      </c>
      <c r="CE42" s="154"/>
      <c r="CF42" s="154">
        <v>113.75857358689623</v>
      </c>
      <c r="CG42" s="153"/>
      <c r="CH42" s="153">
        <v>43.409522185226223</v>
      </c>
      <c r="CI42" s="154"/>
      <c r="CJ42" s="154">
        <v>136.29892654864591</v>
      </c>
      <c r="CK42" s="153"/>
      <c r="CL42" s="153">
        <v>180.77700717876405</v>
      </c>
      <c r="CM42" s="154" t="s">
        <v>211</v>
      </c>
      <c r="CN42" s="154">
        <v>5.7574904914225698E-2</v>
      </c>
      <c r="CO42" s="153" t="s">
        <v>211</v>
      </c>
      <c r="CP42" s="153">
        <v>0</v>
      </c>
    </row>
    <row r="43" spans="1:104" x14ac:dyDescent="0.2">
      <c r="A43" s="110">
        <v>2019</v>
      </c>
      <c r="B43" s="106" t="s">
        <v>166</v>
      </c>
      <c r="C43" s="156"/>
      <c r="D43" s="156">
        <v>6414.3441516039456</v>
      </c>
      <c r="E43" s="155"/>
      <c r="F43" s="155">
        <v>382.155896031861</v>
      </c>
      <c r="G43" s="156"/>
      <c r="H43" s="156">
        <v>120.74573172055747</v>
      </c>
      <c r="I43" s="155"/>
      <c r="J43" s="155">
        <v>607.7020467858631</v>
      </c>
      <c r="K43" s="156" t="s">
        <v>212</v>
      </c>
      <c r="L43" s="156">
        <v>26.133752914203253</v>
      </c>
      <c r="M43" s="155"/>
      <c r="N43" s="155">
        <v>48.478070371858799</v>
      </c>
      <c r="O43" s="154"/>
      <c r="P43" s="154">
        <v>601.16953576530022</v>
      </c>
      <c r="Q43" s="153"/>
      <c r="R43" s="153">
        <v>1104.1158898211238</v>
      </c>
      <c r="S43" s="154"/>
      <c r="T43" s="154">
        <v>389.5728154363307</v>
      </c>
      <c r="U43" s="153"/>
      <c r="V43" s="153">
        <v>338.68327855285838</v>
      </c>
      <c r="W43" s="154"/>
      <c r="X43" s="154">
        <v>118.56954592936164</v>
      </c>
      <c r="Y43" s="153"/>
      <c r="Z43" s="153">
        <v>166.50603010348846</v>
      </c>
      <c r="AA43" s="154"/>
      <c r="AB43" s="154">
        <v>58.456886161673481</v>
      </c>
      <c r="AC43" s="153"/>
      <c r="AD43" s="153">
        <v>297.2959847183364</v>
      </c>
      <c r="AE43" s="154"/>
      <c r="AF43" s="154">
        <v>354.86601303324903</v>
      </c>
      <c r="AG43" s="153"/>
      <c r="AH43" s="153">
        <v>668.66461036724183</v>
      </c>
      <c r="AI43" s="154"/>
      <c r="AJ43" s="154">
        <v>453.35971315472614</v>
      </c>
      <c r="AK43" s="153"/>
      <c r="AL43" s="153">
        <v>293.03296776940448</v>
      </c>
      <c r="AM43" s="154"/>
      <c r="AN43" s="154">
        <v>77.47283082392893</v>
      </c>
      <c r="AO43" s="153"/>
      <c r="AP43" s="153">
        <v>127.51275396021484</v>
      </c>
      <c r="AQ43" s="154"/>
      <c r="AR43" s="154">
        <v>178.67326809888974</v>
      </c>
      <c r="AS43" s="153" t="s">
        <v>211</v>
      </c>
      <c r="AT43" s="153">
        <v>1.1765300834737311</v>
      </c>
      <c r="AU43" s="154" t="s">
        <v>211</v>
      </c>
      <c r="AV43" s="154">
        <v>0</v>
      </c>
      <c r="AW43" s="153"/>
      <c r="AX43" s="153">
        <v>2631.0187132672804</v>
      </c>
      <c r="AY43" s="154"/>
      <c r="AZ43" s="154">
        <v>282.30880877700696</v>
      </c>
      <c r="BA43" s="153" t="s">
        <v>211</v>
      </c>
      <c r="BB43" s="153">
        <v>5.1989011636733569</v>
      </c>
      <c r="BC43" s="154"/>
      <c r="BD43" s="154">
        <v>221.8739348065063</v>
      </c>
      <c r="BE43" s="153" t="s">
        <v>211</v>
      </c>
      <c r="BF43" s="153">
        <v>3.4644718087783035</v>
      </c>
      <c r="BG43" s="154" t="s">
        <v>211</v>
      </c>
      <c r="BH43" s="154">
        <v>12.829802228922896</v>
      </c>
      <c r="BI43" s="153"/>
      <c r="BJ43" s="153">
        <v>308.35640433996934</v>
      </c>
      <c r="BK43" s="154"/>
      <c r="BL43" s="154">
        <v>553.17777683814904</v>
      </c>
      <c r="BM43" s="153"/>
      <c r="BN43" s="153">
        <v>210.51610681761642</v>
      </c>
      <c r="BO43" s="154"/>
      <c r="BP43" s="154">
        <v>162.76693579052528</v>
      </c>
      <c r="BQ43" s="153" t="s">
        <v>211</v>
      </c>
      <c r="BR43" s="153">
        <v>13.803806474311266</v>
      </c>
      <c r="BS43" s="154" t="s">
        <v>211</v>
      </c>
      <c r="BT43" s="154">
        <v>11.549078767325597</v>
      </c>
      <c r="BU43" s="153" t="s">
        <v>211</v>
      </c>
      <c r="BV43" s="153">
        <v>11.600790567352913</v>
      </c>
      <c r="BW43" s="154"/>
      <c r="BX43" s="154">
        <v>39.055342188002278</v>
      </c>
      <c r="BY43" s="153"/>
      <c r="BZ43" s="153">
        <v>129.19148021392769</v>
      </c>
      <c r="CA43" s="154"/>
      <c r="CB43" s="154">
        <v>94.284502032978537</v>
      </c>
      <c r="CC43" s="153"/>
      <c r="CD43" s="153">
        <v>86.682824503592457</v>
      </c>
      <c r="CE43" s="154"/>
      <c r="CF43" s="154">
        <v>116.6149344102861</v>
      </c>
      <c r="CG43" s="153"/>
      <c r="CH43" s="153">
        <v>39.558590574344372</v>
      </c>
      <c r="CI43" s="154"/>
      <c r="CJ43" s="154">
        <v>145.66403441152337</v>
      </c>
      <c r="CK43" s="153"/>
      <c r="CL43" s="153">
        <v>182.52018655248787</v>
      </c>
      <c r="CM43" s="154" t="s">
        <v>211</v>
      </c>
      <c r="CN43" s="154">
        <v>0</v>
      </c>
      <c r="CO43" s="153" t="s">
        <v>211</v>
      </c>
      <c r="CP43" s="153">
        <v>0</v>
      </c>
      <c r="CZ43" s="255" t="s">
        <v>511</v>
      </c>
    </row>
    <row r="44" spans="1:104" x14ac:dyDescent="0.2">
      <c r="A44" s="110">
        <v>2019</v>
      </c>
      <c r="B44" s="106" t="s">
        <v>165</v>
      </c>
      <c r="C44" s="156"/>
      <c r="D44" s="156">
        <v>6423.8115994425289</v>
      </c>
      <c r="E44" s="155"/>
      <c r="F44" s="155">
        <v>414.90047136397368</v>
      </c>
      <c r="G44" s="156"/>
      <c r="H44" s="156">
        <v>120.01503390607368</v>
      </c>
      <c r="I44" s="155"/>
      <c r="J44" s="155">
        <v>607.38063626139001</v>
      </c>
      <c r="K44" s="156" t="s">
        <v>212</v>
      </c>
      <c r="L44" s="156">
        <v>23.585336098491968</v>
      </c>
      <c r="M44" s="155"/>
      <c r="N44" s="155">
        <v>50.451487839616028</v>
      </c>
      <c r="O44" s="154"/>
      <c r="P44" s="154">
        <v>595.28925653917497</v>
      </c>
      <c r="Q44" s="153"/>
      <c r="R44" s="153">
        <v>1106.4828331595575</v>
      </c>
      <c r="S44" s="154"/>
      <c r="T44" s="154">
        <v>384.14562636572447</v>
      </c>
      <c r="U44" s="153"/>
      <c r="V44" s="153">
        <v>322.95187683541155</v>
      </c>
      <c r="W44" s="154"/>
      <c r="X44" s="154">
        <v>113.40225487605417</v>
      </c>
      <c r="Y44" s="153"/>
      <c r="Z44" s="153">
        <v>167.12585092360047</v>
      </c>
      <c r="AA44" s="154"/>
      <c r="AB44" s="154">
        <v>60.342872578021129</v>
      </c>
      <c r="AC44" s="153"/>
      <c r="AD44" s="153">
        <v>289.05312760800422</v>
      </c>
      <c r="AE44" s="154"/>
      <c r="AF44" s="154">
        <v>357.67096688264928</v>
      </c>
      <c r="AG44" s="153"/>
      <c r="AH44" s="153">
        <v>674.39221249217553</v>
      </c>
      <c r="AI44" s="154"/>
      <c r="AJ44" s="154">
        <v>464.06442718330356</v>
      </c>
      <c r="AK44" s="153"/>
      <c r="AL44" s="153">
        <v>292.32947955513004</v>
      </c>
      <c r="AM44" s="154"/>
      <c r="AN44" s="154">
        <v>70.421600238869715</v>
      </c>
      <c r="AO44" s="153"/>
      <c r="AP44" s="153">
        <v>131.83993370412952</v>
      </c>
      <c r="AQ44" s="154"/>
      <c r="AR44" s="154">
        <v>176.77156891532198</v>
      </c>
      <c r="AS44" s="153" t="s">
        <v>211</v>
      </c>
      <c r="AT44" s="153">
        <v>1.1947461158550539</v>
      </c>
      <c r="AU44" s="154" t="s">
        <v>211</v>
      </c>
      <c r="AV44" s="154">
        <v>0</v>
      </c>
      <c r="AW44" s="153"/>
      <c r="AX44" s="153">
        <v>2663.3207846032901</v>
      </c>
      <c r="AY44" s="154"/>
      <c r="AZ44" s="154">
        <v>310.09439413427316</v>
      </c>
      <c r="BA44" s="153" t="s">
        <v>211</v>
      </c>
      <c r="BB44" s="153">
        <v>6.2627053768442362</v>
      </c>
      <c r="BC44" s="154"/>
      <c r="BD44" s="154">
        <v>224.45059182942467</v>
      </c>
      <c r="BE44" s="153" t="s">
        <v>211</v>
      </c>
      <c r="BF44" s="153">
        <v>4.2133692908969458</v>
      </c>
      <c r="BG44" s="154" t="s">
        <v>211</v>
      </c>
      <c r="BH44" s="154">
        <v>11.745899178561421</v>
      </c>
      <c r="BI44" s="153"/>
      <c r="BJ44" s="153">
        <v>293.53630977451087</v>
      </c>
      <c r="BK44" s="154"/>
      <c r="BL44" s="154">
        <v>569.66628878873178</v>
      </c>
      <c r="BM44" s="153"/>
      <c r="BN44" s="153">
        <v>213.0436288199686</v>
      </c>
      <c r="BO44" s="154"/>
      <c r="BP44" s="154">
        <v>165.3213006522426</v>
      </c>
      <c r="BQ44" s="153" t="s">
        <v>211</v>
      </c>
      <c r="BR44" s="153">
        <v>18.351153069383709</v>
      </c>
      <c r="BS44" s="154" t="s">
        <v>211</v>
      </c>
      <c r="BT44" s="154">
        <v>11.41626459748942</v>
      </c>
      <c r="BU44" s="153" t="s">
        <v>211</v>
      </c>
      <c r="BV44" s="153">
        <v>8.6723224792476579</v>
      </c>
      <c r="BW44" s="154"/>
      <c r="BX44" s="154">
        <v>37.3300530010305</v>
      </c>
      <c r="BY44" s="153"/>
      <c r="BZ44" s="153">
        <v>140.41251670356789</v>
      </c>
      <c r="CA44" s="154"/>
      <c r="CB44" s="154">
        <v>93.472588128937147</v>
      </c>
      <c r="CC44" s="153"/>
      <c r="CD44" s="153">
        <v>79.829471740575968</v>
      </c>
      <c r="CE44" s="154"/>
      <c r="CF44" s="154">
        <v>116.64791738976392</v>
      </c>
      <c r="CG44" s="153"/>
      <c r="CH44" s="153">
        <v>38.532009253645192</v>
      </c>
      <c r="CI44" s="154"/>
      <c r="CJ44" s="154">
        <v>147.60691929890342</v>
      </c>
      <c r="CK44" s="153"/>
      <c r="CL44" s="153">
        <v>171.80241352238878</v>
      </c>
      <c r="CM44" s="154" t="s">
        <v>211</v>
      </c>
      <c r="CN44" s="154">
        <v>0.912667572902362</v>
      </c>
      <c r="CO44" s="153" t="s">
        <v>211</v>
      </c>
      <c r="CP44" s="153">
        <v>0</v>
      </c>
    </row>
    <row r="45" spans="1:104" x14ac:dyDescent="0.2">
      <c r="A45" s="110">
        <v>2019</v>
      </c>
      <c r="B45" s="106" t="s">
        <v>164</v>
      </c>
      <c r="C45" s="156"/>
      <c r="D45" s="156">
        <v>6458.7929742183451</v>
      </c>
      <c r="E45" s="155"/>
      <c r="F45" s="155">
        <v>434.16540701326875</v>
      </c>
      <c r="G45" s="156"/>
      <c r="H45" s="156">
        <v>113.13891027071948</v>
      </c>
      <c r="I45" s="155"/>
      <c r="J45" s="155">
        <v>609.4303842949588</v>
      </c>
      <c r="K45" s="156"/>
      <c r="L45" s="156">
        <v>25.45975591751575</v>
      </c>
      <c r="M45" s="155"/>
      <c r="N45" s="155">
        <v>50.065999266617894</v>
      </c>
      <c r="O45" s="154"/>
      <c r="P45" s="154">
        <v>580.37895740657507</v>
      </c>
      <c r="Q45" s="153"/>
      <c r="R45" s="153">
        <v>1112.9396335231058</v>
      </c>
      <c r="S45" s="154"/>
      <c r="T45" s="154">
        <v>366.47571607769095</v>
      </c>
      <c r="U45" s="153"/>
      <c r="V45" s="153">
        <v>313.52413473270292</v>
      </c>
      <c r="W45" s="154"/>
      <c r="X45" s="154">
        <v>112.15765308116541</v>
      </c>
      <c r="Y45" s="153"/>
      <c r="Z45" s="153">
        <v>164.91726114666963</v>
      </c>
      <c r="AA45" s="154"/>
      <c r="AB45" s="154">
        <v>50.397349502774425</v>
      </c>
      <c r="AC45" s="153"/>
      <c r="AD45" s="153">
        <v>312.23963203651459</v>
      </c>
      <c r="AE45" s="154"/>
      <c r="AF45" s="154">
        <v>382.10925453051107</v>
      </c>
      <c r="AG45" s="153"/>
      <c r="AH45" s="153">
        <v>646.04792183174288</v>
      </c>
      <c r="AI45" s="154"/>
      <c r="AJ45" s="154">
        <v>456.54739702331022</v>
      </c>
      <c r="AK45" s="153"/>
      <c r="AL45" s="153">
        <v>295.40669921430919</v>
      </c>
      <c r="AM45" s="154"/>
      <c r="AN45" s="154">
        <v>80.557023541686192</v>
      </c>
      <c r="AO45" s="153"/>
      <c r="AP45" s="153">
        <v>147.87146231456919</v>
      </c>
      <c r="AQ45" s="154"/>
      <c r="AR45" s="154">
        <v>177.09628356141539</v>
      </c>
      <c r="AS45" s="153" t="s">
        <v>211</v>
      </c>
      <c r="AT45" s="153">
        <v>1.5955655913533884</v>
      </c>
      <c r="AU45" s="154" t="s">
        <v>211</v>
      </c>
      <c r="AV45" s="154">
        <v>26.270572339167998</v>
      </c>
      <c r="AW45" s="153"/>
      <c r="AX45" s="153">
        <v>2656.8480652767644</v>
      </c>
      <c r="AY45" s="154"/>
      <c r="AZ45" s="154">
        <v>309.20085409246559</v>
      </c>
      <c r="BA45" s="153" t="s">
        <v>211</v>
      </c>
      <c r="BB45" s="153">
        <v>7.9921066287579317</v>
      </c>
      <c r="BC45" s="154"/>
      <c r="BD45" s="154">
        <v>234.70835204810729</v>
      </c>
      <c r="BE45" s="153" t="s">
        <v>211</v>
      </c>
      <c r="BF45" s="153">
        <v>5.3277737545293276</v>
      </c>
      <c r="BG45" s="154" t="s">
        <v>211</v>
      </c>
      <c r="BH45" s="154">
        <v>16.275794701316109</v>
      </c>
      <c r="BI45" s="153"/>
      <c r="BJ45" s="153">
        <v>283.71632935541282</v>
      </c>
      <c r="BK45" s="154"/>
      <c r="BL45" s="154">
        <v>561.72971614530411</v>
      </c>
      <c r="BM45" s="153"/>
      <c r="BN45" s="153">
        <v>187.79409202667529</v>
      </c>
      <c r="BO45" s="154"/>
      <c r="BP45" s="154">
        <v>173.0192310933995</v>
      </c>
      <c r="BQ45" s="153" t="s">
        <v>211</v>
      </c>
      <c r="BR45" s="153">
        <v>18.302592045607931</v>
      </c>
      <c r="BS45" s="154" t="s">
        <v>211</v>
      </c>
      <c r="BT45" s="154">
        <v>8.4923282144622405</v>
      </c>
      <c r="BU45" s="153" t="s">
        <v>211</v>
      </c>
      <c r="BV45" s="153">
        <v>10.93367230907044</v>
      </c>
      <c r="BW45" s="154"/>
      <c r="BX45" s="154">
        <v>41.080785923385079</v>
      </c>
      <c r="BY45" s="153"/>
      <c r="BZ45" s="153">
        <v>150.23883436718179</v>
      </c>
      <c r="CA45" s="154"/>
      <c r="CB45" s="154">
        <v>96.73200462557125</v>
      </c>
      <c r="CC45" s="153"/>
      <c r="CD45" s="153">
        <v>70.438440249231945</v>
      </c>
      <c r="CE45" s="154"/>
      <c r="CF45" s="154">
        <v>109.77203079706041</v>
      </c>
      <c r="CG45" s="153"/>
      <c r="CH45" s="153">
        <v>39.79155724906505</v>
      </c>
      <c r="CI45" s="154"/>
      <c r="CJ45" s="154">
        <v>140.96122811574452</v>
      </c>
      <c r="CK45" s="153"/>
      <c r="CL45" s="153">
        <v>179.28865385704904</v>
      </c>
      <c r="CM45" s="154" t="s">
        <v>211</v>
      </c>
      <c r="CN45" s="154">
        <v>0.88726739780477581</v>
      </c>
      <c r="CO45" s="153" t="s">
        <v>211</v>
      </c>
      <c r="CP45" s="153">
        <v>10.164420279561922</v>
      </c>
    </row>
    <row r="46" spans="1:104" x14ac:dyDescent="0.2">
      <c r="A46" s="107">
        <v>2020</v>
      </c>
      <c r="B46" s="108" t="s">
        <v>163</v>
      </c>
      <c r="C46" s="156"/>
      <c r="D46" s="156">
        <v>6432.776659776865</v>
      </c>
      <c r="E46" s="155"/>
      <c r="F46" s="155">
        <v>410.38310122817757</v>
      </c>
      <c r="G46" s="156"/>
      <c r="H46" s="156">
        <v>124.00941475122379</v>
      </c>
      <c r="I46" s="155"/>
      <c r="J46" s="155">
        <v>620.90025100041589</v>
      </c>
      <c r="K46" s="156"/>
      <c r="L46" s="156">
        <v>31.258380761822178</v>
      </c>
      <c r="M46" s="155"/>
      <c r="N46" s="155">
        <v>52.091426768284641</v>
      </c>
      <c r="O46" s="154"/>
      <c r="P46" s="154">
        <v>568.29874918528822</v>
      </c>
      <c r="Q46" s="153"/>
      <c r="R46" s="153">
        <v>1092.9182449354287</v>
      </c>
      <c r="S46" s="154"/>
      <c r="T46" s="154">
        <v>374.93948454566078</v>
      </c>
      <c r="U46" s="153"/>
      <c r="V46" s="153">
        <v>317.97237129339754</v>
      </c>
      <c r="W46" s="154"/>
      <c r="X46" s="154">
        <v>124.1983755598453</v>
      </c>
      <c r="Y46" s="153"/>
      <c r="Z46" s="153">
        <v>159.07031776341989</v>
      </c>
      <c r="AA46" s="154"/>
      <c r="AB46" s="154">
        <v>53.766970306480935</v>
      </c>
      <c r="AC46" s="153"/>
      <c r="AD46" s="153">
        <v>295.29581073962771</v>
      </c>
      <c r="AE46" s="154"/>
      <c r="AF46" s="154">
        <v>401.66693760196125</v>
      </c>
      <c r="AG46" s="153"/>
      <c r="AH46" s="153">
        <v>604.80034282987867</v>
      </c>
      <c r="AI46" s="154"/>
      <c r="AJ46" s="154">
        <v>453.18174191885186</v>
      </c>
      <c r="AK46" s="153"/>
      <c r="AL46" s="153">
        <v>313.8137743347192</v>
      </c>
      <c r="AM46" s="154"/>
      <c r="AN46" s="154">
        <v>79.745060866808217</v>
      </c>
      <c r="AO46" s="153"/>
      <c r="AP46" s="153">
        <v>156.92576120219874</v>
      </c>
      <c r="AQ46" s="154"/>
      <c r="AR46" s="154">
        <v>158.18489085495273</v>
      </c>
      <c r="AS46" s="153" t="s">
        <v>211</v>
      </c>
      <c r="AT46" s="153">
        <v>1.4544395795400413</v>
      </c>
      <c r="AU46" s="154" t="s">
        <v>212</v>
      </c>
      <c r="AV46" s="154">
        <v>37.900811748881075</v>
      </c>
      <c r="AW46" s="153"/>
      <c r="AX46" s="153">
        <v>2630.5970772904197</v>
      </c>
      <c r="AY46" s="154"/>
      <c r="AZ46" s="154">
        <v>296.57522103558478</v>
      </c>
      <c r="BA46" s="153" t="s">
        <v>211</v>
      </c>
      <c r="BB46" s="153">
        <v>7.1978518374899645</v>
      </c>
      <c r="BC46" s="154"/>
      <c r="BD46" s="154">
        <v>223.3646124337622</v>
      </c>
      <c r="BE46" s="153" t="s">
        <v>211</v>
      </c>
      <c r="BF46" s="153">
        <v>3.6153950928532339</v>
      </c>
      <c r="BG46" s="154" t="s">
        <v>211</v>
      </c>
      <c r="BH46" s="154">
        <v>16.8155502636648</v>
      </c>
      <c r="BI46" s="153"/>
      <c r="BJ46" s="153">
        <v>282.15832700011003</v>
      </c>
      <c r="BK46" s="154"/>
      <c r="BL46" s="154">
        <v>549.36141701075758</v>
      </c>
      <c r="BM46" s="153"/>
      <c r="BN46" s="153">
        <v>194.87496210545604</v>
      </c>
      <c r="BO46" s="154"/>
      <c r="BP46" s="154">
        <v>170.5746144775743</v>
      </c>
      <c r="BQ46" s="153" t="s">
        <v>212</v>
      </c>
      <c r="BR46" s="153">
        <v>18.865781700754031</v>
      </c>
      <c r="BS46" s="154" t="s">
        <v>211</v>
      </c>
      <c r="BT46" s="154">
        <v>5.9315108076376797</v>
      </c>
      <c r="BU46" s="153" t="s">
        <v>211</v>
      </c>
      <c r="BV46" s="153">
        <v>14.120598113587221</v>
      </c>
      <c r="BW46" s="154"/>
      <c r="BX46" s="154">
        <v>51.24134009061185</v>
      </c>
      <c r="BY46" s="153"/>
      <c r="BZ46" s="153">
        <v>143.82035904811244</v>
      </c>
      <c r="CA46" s="154"/>
      <c r="CB46" s="154">
        <v>96.8405646147108</v>
      </c>
      <c r="CC46" s="153"/>
      <c r="CD46" s="153">
        <v>68.496641385820723</v>
      </c>
      <c r="CE46" s="154"/>
      <c r="CF46" s="154">
        <v>106.68716461324024</v>
      </c>
      <c r="CG46" s="153"/>
      <c r="CH46" s="153">
        <v>41.556522852803887</v>
      </c>
      <c r="CI46" s="154"/>
      <c r="CJ46" s="154">
        <v>135.14829202226679</v>
      </c>
      <c r="CK46" s="153"/>
      <c r="CL46" s="153">
        <v>182.92256601718935</v>
      </c>
      <c r="CM46" s="154" t="s">
        <v>211</v>
      </c>
      <c r="CN46" s="154">
        <v>0.81896272620503763</v>
      </c>
      <c r="CO46" s="153" t="s">
        <v>212</v>
      </c>
      <c r="CP46" s="153">
        <v>19.608822040227185</v>
      </c>
    </row>
    <row r="47" spans="1:104" x14ac:dyDescent="0.2">
      <c r="A47" s="107">
        <v>2020</v>
      </c>
      <c r="B47" s="106" t="s">
        <v>162</v>
      </c>
      <c r="C47" s="156"/>
      <c r="D47" s="156">
        <v>6361.9690279829156</v>
      </c>
      <c r="E47" s="155"/>
      <c r="F47" s="155">
        <v>386.33808662995773</v>
      </c>
      <c r="G47" s="156"/>
      <c r="H47" s="156">
        <v>127.23397659139239</v>
      </c>
      <c r="I47" s="155"/>
      <c r="J47" s="155">
        <v>601.65886473786827</v>
      </c>
      <c r="K47" s="156"/>
      <c r="L47" s="156">
        <v>34.761112276483232</v>
      </c>
      <c r="M47" s="155"/>
      <c r="N47" s="155">
        <v>47.192620620251262</v>
      </c>
      <c r="O47" s="154"/>
      <c r="P47" s="154">
        <v>553.69320182935667</v>
      </c>
      <c r="Q47" s="153"/>
      <c r="R47" s="153">
        <v>1070.065372050409</v>
      </c>
      <c r="S47" s="154"/>
      <c r="T47" s="154">
        <v>374.32165623075815</v>
      </c>
      <c r="U47" s="153"/>
      <c r="V47" s="153">
        <v>305.30054069072082</v>
      </c>
      <c r="W47" s="154"/>
      <c r="X47" s="154">
        <v>138.68838765655337</v>
      </c>
      <c r="Y47" s="153"/>
      <c r="Z47" s="153">
        <v>158.52751801984726</v>
      </c>
      <c r="AA47" s="154"/>
      <c r="AB47" s="154">
        <v>55.669400177078543</v>
      </c>
      <c r="AC47" s="153"/>
      <c r="AD47" s="153">
        <v>287.92077322662334</v>
      </c>
      <c r="AE47" s="154"/>
      <c r="AF47" s="154">
        <v>427.23889216176838</v>
      </c>
      <c r="AG47" s="153"/>
      <c r="AH47" s="153">
        <v>576.79553868931134</v>
      </c>
      <c r="AI47" s="154"/>
      <c r="AJ47" s="154">
        <v>442.55404609196847</v>
      </c>
      <c r="AK47" s="153"/>
      <c r="AL47" s="153">
        <v>341.93492465670033</v>
      </c>
      <c r="AM47" s="154"/>
      <c r="AN47" s="154">
        <v>69.574097443313519</v>
      </c>
      <c r="AO47" s="153"/>
      <c r="AP47" s="153">
        <v>163.63491208220532</v>
      </c>
      <c r="AQ47" s="154"/>
      <c r="AR47" s="154">
        <v>156.83875663238558</v>
      </c>
      <c r="AS47" s="153" t="s">
        <v>211</v>
      </c>
      <c r="AT47" s="153">
        <v>1.6307104802843291</v>
      </c>
      <c r="AU47" s="154"/>
      <c r="AV47" s="154">
        <v>40.39563900767822</v>
      </c>
      <c r="AW47" s="153"/>
      <c r="AX47" s="153">
        <v>2580.4554917950759</v>
      </c>
      <c r="AY47" s="154"/>
      <c r="AZ47" s="154">
        <v>273.22399448783642</v>
      </c>
      <c r="BA47" s="153" t="s">
        <v>211</v>
      </c>
      <c r="BB47" s="153">
        <v>5.0042296097526968</v>
      </c>
      <c r="BC47" s="154"/>
      <c r="BD47" s="154">
        <v>227.90709736049891</v>
      </c>
      <c r="BE47" s="153" t="s">
        <v>211</v>
      </c>
      <c r="BF47" s="153">
        <v>3.1174120563504784</v>
      </c>
      <c r="BG47" s="154" t="s">
        <v>211</v>
      </c>
      <c r="BH47" s="154">
        <v>15.843145556207725</v>
      </c>
      <c r="BI47" s="153"/>
      <c r="BJ47" s="153">
        <v>273.90407411236333</v>
      </c>
      <c r="BK47" s="154"/>
      <c r="BL47" s="154">
        <v>557.94918118238991</v>
      </c>
      <c r="BM47" s="153"/>
      <c r="BN47" s="153">
        <v>194.46201695617896</v>
      </c>
      <c r="BO47" s="154"/>
      <c r="BP47" s="154">
        <v>159.20423960615994</v>
      </c>
      <c r="BQ47" s="153" t="s">
        <v>211</v>
      </c>
      <c r="BR47" s="153">
        <v>22.43582942864203</v>
      </c>
      <c r="BS47" s="154" t="s">
        <v>211</v>
      </c>
      <c r="BT47" s="154">
        <v>7.1198710774921663</v>
      </c>
      <c r="BU47" s="153" t="s">
        <v>211</v>
      </c>
      <c r="BV47" s="153">
        <v>15.825131003661419</v>
      </c>
      <c r="BW47" s="154"/>
      <c r="BX47" s="154">
        <v>53.224813131309695</v>
      </c>
      <c r="BY47" s="153"/>
      <c r="BZ47" s="153">
        <v>138.51224275074426</v>
      </c>
      <c r="CA47" s="154"/>
      <c r="CB47" s="154">
        <v>96.22759784314934</v>
      </c>
      <c r="CC47" s="153"/>
      <c r="CD47" s="153">
        <v>70.235211082077569</v>
      </c>
      <c r="CE47" s="154"/>
      <c r="CF47" s="154">
        <v>99.890069679692701</v>
      </c>
      <c r="CG47" s="153"/>
      <c r="CH47" s="153">
        <v>38.723070189292656</v>
      </c>
      <c r="CI47" s="154"/>
      <c r="CJ47" s="154">
        <v>130.58383344825396</v>
      </c>
      <c r="CK47" s="153"/>
      <c r="CL47" s="153">
        <v>178.46100468278857</v>
      </c>
      <c r="CM47" s="154" t="s">
        <v>211</v>
      </c>
      <c r="CN47" s="154">
        <v>0</v>
      </c>
      <c r="CO47" s="153" t="s">
        <v>212</v>
      </c>
      <c r="CP47" s="153">
        <v>18.60142655023321</v>
      </c>
    </row>
    <row r="48" spans="1:104" x14ac:dyDescent="0.2">
      <c r="A48" s="107">
        <v>2020</v>
      </c>
      <c r="B48" s="106" t="s">
        <v>173</v>
      </c>
      <c r="C48" s="156"/>
      <c r="D48" s="156">
        <v>6069.4039947019537</v>
      </c>
      <c r="E48" s="155"/>
      <c r="F48" s="155">
        <v>343.14705006223079</v>
      </c>
      <c r="G48" s="156"/>
      <c r="H48" s="156">
        <v>127.95398610982016</v>
      </c>
      <c r="I48" s="155"/>
      <c r="J48" s="155">
        <v>580.15903926563192</v>
      </c>
      <c r="K48" s="156" t="s">
        <v>212</v>
      </c>
      <c r="L48" s="156">
        <v>37.228447432389686</v>
      </c>
      <c r="M48" s="155"/>
      <c r="N48" s="155">
        <v>51.158566539493151</v>
      </c>
      <c r="O48" s="154"/>
      <c r="P48" s="154">
        <v>499.34567418242193</v>
      </c>
      <c r="Q48" s="153"/>
      <c r="R48" s="153">
        <v>1016.4577775258176</v>
      </c>
      <c r="S48" s="154"/>
      <c r="T48" s="154">
        <v>358.43710481600453</v>
      </c>
      <c r="U48" s="153"/>
      <c r="V48" s="153">
        <v>266.50667631084514</v>
      </c>
      <c r="W48" s="154"/>
      <c r="X48" s="154">
        <v>143.25694185473708</v>
      </c>
      <c r="Y48" s="153"/>
      <c r="Z48" s="153">
        <v>163.97163969646451</v>
      </c>
      <c r="AA48" s="154"/>
      <c r="AB48" s="154">
        <v>58.651711646151284</v>
      </c>
      <c r="AC48" s="153"/>
      <c r="AD48" s="153">
        <v>250.54223921771685</v>
      </c>
      <c r="AE48" s="154"/>
      <c r="AF48" s="154">
        <v>417.45609636856557</v>
      </c>
      <c r="AG48" s="153"/>
      <c r="AH48" s="153">
        <v>577.73105028568489</v>
      </c>
      <c r="AI48" s="154"/>
      <c r="AJ48" s="154">
        <v>468.27242096161507</v>
      </c>
      <c r="AK48" s="153"/>
      <c r="AL48" s="153">
        <v>339.28319350803088</v>
      </c>
      <c r="AM48" s="154"/>
      <c r="AN48" s="154">
        <v>52.901333886585846</v>
      </c>
      <c r="AO48" s="153"/>
      <c r="AP48" s="153">
        <v>155.86564153467251</v>
      </c>
      <c r="AQ48" s="154"/>
      <c r="AR48" s="154">
        <v>143.27169471867435</v>
      </c>
      <c r="AS48" s="153" t="s">
        <v>211</v>
      </c>
      <c r="AT48" s="153">
        <v>0</v>
      </c>
      <c r="AU48" s="154" t="s">
        <v>211</v>
      </c>
      <c r="AV48" s="154">
        <v>17.805708778399705</v>
      </c>
      <c r="AW48" s="153"/>
      <c r="AX48" s="153">
        <v>2166.5267973175592</v>
      </c>
      <c r="AY48" s="154"/>
      <c r="AZ48" s="154">
        <v>247.07823574625289</v>
      </c>
      <c r="BA48" s="153" t="s">
        <v>211</v>
      </c>
      <c r="BB48" s="153">
        <v>5.0285910723250966</v>
      </c>
      <c r="BC48" s="154"/>
      <c r="BD48" s="154">
        <v>199.76080205480395</v>
      </c>
      <c r="BE48" s="153" t="s">
        <v>211</v>
      </c>
      <c r="BF48" s="153">
        <v>2.1706652841190683</v>
      </c>
      <c r="BG48" s="154" t="s">
        <v>211</v>
      </c>
      <c r="BH48" s="154">
        <v>10.667119577438836</v>
      </c>
      <c r="BI48" s="153"/>
      <c r="BJ48" s="153">
        <v>247.2542073208588</v>
      </c>
      <c r="BK48" s="154"/>
      <c r="BL48" s="154">
        <v>456.2410623821404</v>
      </c>
      <c r="BM48" s="153"/>
      <c r="BN48" s="153">
        <v>173.06877488170869</v>
      </c>
      <c r="BO48" s="154"/>
      <c r="BP48" s="154">
        <v>114.25609209635688</v>
      </c>
      <c r="BQ48" s="153" t="s">
        <v>211</v>
      </c>
      <c r="BR48" s="153">
        <v>20.834729753740355</v>
      </c>
      <c r="BS48" s="154" t="s">
        <v>211</v>
      </c>
      <c r="BT48" s="154">
        <v>7.0732834363803416</v>
      </c>
      <c r="BU48" s="153" t="s">
        <v>211</v>
      </c>
      <c r="BV48" s="153">
        <v>12.747570074296942</v>
      </c>
      <c r="BW48" s="154"/>
      <c r="BX48" s="154">
        <v>43.292557658578566</v>
      </c>
      <c r="BY48" s="153"/>
      <c r="BZ48" s="153">
        <v>101.14703074203732</v>
      </c>
      <c r="CA48" s="154"/>
      <c r="CB48" s="154">
        <v>89.897163841599323</v>
      </c>
      <c r="CC48" s="153"/>
      <c r="CD48" s="153">
        <v>67.04908399533187</v>
      </c>
      <c r="CE48" s="154"/>
      <c r="CF48" s="154">
        <v>77.928335217154995</v>
      </c>
      <c r="CG48" s="153" t="s">
        <v>211</v>
      </c>
      <c r="CH48" s="153">
        <v>26.197472444115856</v>
      </c>
      <c r="CI48" s="154"/>
      <c r="CJ48" s="154">
        <v>119.30468148281305</v>
      </c>
      <c r="CK48" s="153"/>
      <c r="CL48" s="153">
        <v>136.01391225812472</v>
      </c>
      <c r="CM48" s="154" t="s">
        <v>211</v>
      </c>
      <c r="CN48" s="154">
        <v>0</v>
      </c>
      <c r="CO48" s="153" t="s">
        <v>211</v>
      </c>
      <c r="CP48" s="153">
        <v>9.5154259973813211</v>
      </c>
    </row>
    <row r="49" spans="1:94" x14ac:dyDescent="0.2">
      <c r="A49" s="107">
        <v>2020</v>
      </c>
      <c r="B49" s="106" t="s">
        <v>172</v>
      </c>
      <c r="C49" s="156"/>
      <c r="D49" s="156">
        <v>5696.0606398216823</v>
      </c>
      <c r="E49" s="155"/>
      <c r="F49" s="155">
        <v>308.91608518652373</v>
      </c>
      <c r="G49" s="156"/>
      <c r="H49" s="156">
        <v>116.62717498913169</v>
      </c>
      <c r="I49" s="155"/>
      <c r="J49" s="155">
        <v>543.35695682555149</v>
      </c>
      <c r="K49" s="156" t="s">
        <v>211</v>
      </c>
      <c r="L49" s="156">
        <v>33.988431070072004</v>
      </c>
      <c r="M49" s="155"/>
      <c r="N49" s="155">
        <v>57.496148702437054</v>
      </c>
      <c r="O49" s="154"/>
      <c r="P49" s="154">
        <v>430.0139875192254</v>
      </c>
      <c r="Q49" s="153"/>
      <c r="R49" s="153">
        <v>956.1645384816859</v>
      </c>
      <c r="S49" s="154"/>
      <c r="T49" s="154">
        <v>347.22379129701073</v>
      </c>
      <c r="U49" s="153"/>
      <c r="V49" s="153">
        <v>217.29106036896138</v>
      </c>
      <c r="W49" s="154"/>
      <c r="X49" s="154">
        <v>137.43544960098191</v>
      </c>
      <c r="Y49" s="153"/>
      <c r="Z49" s="153">
        <v>170.43266575660954</v>
      </c>
      <c r="AA49" s="154"/>
      <c r="AB49" s="154">
        <v>46.200217066177615</v>
      </c>
      <c r="AC49" s="153"/>
      <c r="AD49" s="153">
        <v>235.56811835956623</v>
      </c>
      <c r="AE49" s="154"/>
      <c r="AF49" s="154">
        <v>383.00285266244509</v>
      </c>
      <c r="AG49" s="153"/>
      <c r="AH49" s="153">
        <v>585.18012567927224</v>
      </c>
      <c r="AI49" s="154"/>
      <c r="AJ49" s="154">
        <v>475.47739152234891</v>
      </c>
      <c r="AK49" s="153"/>
      <c r="AL49" s="153">
        <v>327.95330463159354</v>
      </c>
      <c r="AM49" s="154"/>
      <c r="AN49" s="154">
        <v>42.449525876202529</v>
      </c>
      <c r="AO49" s="153"/>
      <c r="AP49" s="153">
        <v>148.66734263452281</v>
      </c>
      <c r="AQ49" s="154"/>
      <c r="AR49" s="154">
        <v>128.80147078820258</v>
      </c>
      <c r="AS49" s="153" t="s">
        <v>211</v>
      </c>
      <c r="AT49" s="153">
        <v>0</v>
      </c>
      <c r="AU49" s="154" t="s">
        <v>211</v>
      </c>
      <c r="AV49" s="154">
        <v>3.8140008031593662</v>
      </c>
      <c r="AW49" s="153"/>
      <c r="AX49" s="153">
        <v>1754.4619247025505</v>
      </c>
      <c r="AY49" s="154"/>
      <c r="AZ49" s="154">
        <v>194.33971178931444</v>
      </c>
      <c r="BA49" s="153" t="s">
        <v>211</v>
      </c>
      <c r="BB49" s="153">
        <v>4.7538794354204086</v>
      </c>
      <c r="BC49" s="154"/>
      <c r="BD49" s="154">
        <v>178.96058001608984</v>
      </c>
      <c r="BE49" s="153" t="s">
        <v>211</v>
      </c>
      <c r="BF49" s="153">
        <v>0.23413160359747875</v>
      </c>
      <c r="BG49" s="154" t="s">
        <v>211</v>
      </c>
      <c r="BH49" s="154">
        <v>6.0219336865482713</v>
      </c>
      <c r="BI49" s="153"/>
      <c r="BJ49" s="153">
        <v>206.5412158633597</v>
      </c>
      <c r="BK49" s="154"/>
      <c r="BL49" s="154">
        <v>385.01538738373478</v>
      </c>
      <c r="BM49" s="153"/>
      <c r="BN49" s="153">
        <v>134.36475667140465</v>
      </c>
      <c r="BO49" s="154"/>
      <c r="BP49" s="154">
        <v>72.671774497262817</v>
      </c>
      <c r="BQ49" s="153" t="s">
        <v>211</v>
      </c>
      <c r="BR49" s="153">
        <v>14.728622570344696</v>
      </c>
      <c r="BS49" s="154" t="s">
        <v>211</v>
      </c>
      <c r="BT49" s="154">
        <v>9.0021655237595404</v>
      </c>
      <c r="BU49" s="153" t="s">
        <v>211</v>
      </c>
      <c r="BV49" s="153">
        <v>7.834914048279618</v>
      </c>
      <c r="BW49" s="154" t="s">
        <v>212</v>
      </c>
      <c r="BX49" s="154">
        <v>33.92620927914021</v>
      </c>
      <c r="BY49" s="153"/>
      <c r="BZ49" s="153">
        <v>77.415114996592308</v>
      </c>
      <c r="CA49" s="154"/>
      <c r="CB49" s="154">
        <v>80.987390792287854</v>
      </c>
      <c r="CC49" s="153"/>
      <c r="CD49" s="153">
        <v>60.597779538310938</v>
      </c>
      <c r="CE49" s="154"/>
      <c r="CF49" s="154">
        <v>66.069559749419909</v>
      </c>
      <c r="CG49" s="153" t="s">
        <v>211</v>
      </c>
      <c r="CH49" s="153">
        <v>14.502959172543328</v>
      </c>
      <c r="CI49" s="154"/>
      <c r="CJ49" s="154">
        <v>108.74894681536644</v>
      </c>
      <c r="CK49" s="153"/>
      <c r="CL49" s="153">
        <v>94.039391039112758</v>
      </c>
      <c r="CM49" s="154" t="s">
        <v>211</v>
      </c>
      <c r="CN49" s="154">
        <v>0</v>
      </c>
      <c r="CO49" s="153" t="s">
        <v>211</v>
      </c>
      <c r="CP49" s="153">
        <v>3.7055002306605882</v>
      </c>
    </row>
    <row r="50" spans="1:94" x14ac:dyDescent="0.2">
      <c r="A50" s="107">
        <v>2020</v>
      </c>
      <c r="B50" s="106" t="s">
        <v>171</v>
      </c>
      <c r="C50" s="156"/>
      <c r="D50" s="156">
        <v>5545.3427874201916</v>
      </c>
      <c r="E50" s="155"/>
      <c r="F50" s="155">
        <v>289.04806168239605</v>
      </c>
      <c r="G50" s="156"/>
      <c r="H50" s="156">
        <v>109.25466746701967</v>
      </c>
      <c r="I50" s="155"/>
      <c r="J50" s="155">
        <v>546.87029007060585</v>
      </c>
      <c r="K50" s="156" t="s">
        <v>211</v>
      </c>
      <c r="L50" s="156">
        <v>33.700105956322048</v>
      </c>
      <c r="M50" s="155"/>
      <c r="N50" s="155">
        <v>54.245760620338025</v>
      </c>
      <c r="O50" s="154"/>
      <c r="P50" s="154">
        <v>386.49064710668733</v>
      </c>
      <c r="Q50" s="153"/>
      <c r="R50" s="153">
        <v>930.53247828842848</v>
      </c>
      <c r="S50" s="154"/>
      <c r="T50" s="154">
        <v>332.78342795141384</v>
      </c>
      <c r="U50" s="153"/>
      <c r="V50" s="153">
        <v>194.01557438333668</v>
      </c>
      <c r="W50" s="154"/>
      <c r="X50" s="154">
        <v>134.82451927437694</v>
      </c>
      <c r="Y50" s="153"/>
      <c r="Z50" s="153">
        <v>172.1810290467337</v>
      </c>
      <c r="AA50" s="154"/>
      <c r="AB50" s="154">
        <v>47.663376169148933</v>
      </c>
      <c r="AC50" s="153"/>
      <c r="AD50" s="153">
        <v>228.82604145729118</v>
      </c>
      <c r="AE50" s="154"/>
      <c r="AF50" s="154">
        <v>372.0543297155524</v>
      </c>
      <c r="AG50" s="153"/>
      <c r="AH50" s="153">
        <v>590.89980692644644</v>
      </c>
      <c r="AI50" s="154"/>
      <c r="AJ50" s="154">
        <v>482.63174250579988</v>
      </c>
      <c r="AK50" s="153"/>
      <c r="AL50" s="153">
        <v>326.29704065224513</v>
      </c>
      <c r="AM50" s="154"/>
      <c r="AN50" s="154">
        <v>38.237618788735858</v>
      </c>
      <c r="AO50" s="153"/>
      <c r="AP50" s="153">
        <v>140.53842767037273</v>
      </c>
      <c r="AQ50" s="154"/>
      <c r="AR50" s="154">
        <v>127.91543217685535</v>
      </c>
      <c r="AS50" s="153" t="s">
        <v>211</v>
      </c>
      <c r="AT50" s="153">
        <v>0</v>
      </c>
      <c r="AU50" s="154" t="s">
        <v>211</v>
      </c>
      <c r="AV50" s="154">
        <v>6.3324095100851192</v>
      </c>
      <c r="AW50" s="153"/>
      <c r="AX50" s="153">
        <v>1597.2254977631667</v>
      </c>
      <c r="AY50" s="154"/>
      <c r="AZ50" s="154">
        <v>172.20843252108907</v>
      </c>
      <c r="BA50" s="153" t="s">
        <v>211</v>
      </c>
      <c r="BB50" s="153">
        <v>4.8716677780868967</v>
      </c>
      <c r="BC50" s="154"/>
      <c r="BD50" s="154">
        <v>169.78755074570708</v>
      </c>
      <c r="BE50" s="153" t="s">
        <v>211</v>
      </c>
      <c r="BF50" s="153">
        <v>0</v>
      </c>
      <c r="BG50" s="154" t="s">
        <v>211</v>
      </c>
      <c r="BH50" s="154">
        <v>8.1764959245489859</v>
      </c>
      <c r="BI50" s="153"/>
      <c r="BJ50" s="153">
        <v>185.56350853751559</v>
      </c>
      <c r="BK50" s="154"/>
      <c r="BL50" s="154">
        <v>350.93616082832142</v>
      </c>
      <c r="BM50" s="153"/>
      <c r="BN50" s="153">
        <v>113.82410733154229</v>
      </c>
      <c r="BO50" s="154"/>
      <c r="BP50" s="154">
        <v>64.425444467095602</v>
      </c>
      <c r="BQ50" s="153" t="s">
        <v>211</v>
      </c>
      <c r="BR50" s="153">
        <v>10.732346706788622</v>
      </c>
      <c r="BS50" s="154" t="s">
        <v>211</v>
      </c>
      <c r="BT50" s="154">
        <v>9.0444311847988388</v>
      </c>
      <c r="BU50" s="153" t="s">
        <v>211</v>
      </c>
      <c r="BV50" s="153">
        <v>6.5445498584897228</v>
      </c>
      <c r="BW50" s="154" t="s">
        <v>212</v>
      </c>
      <c r="BX50" s="154">
        <v>29.120034544587718</v>
      </c>
      <c r="BY50" s="153"/>
      <c r="BZ50" s="153">
        <v>72.440539933094925</v>
      </c>
      <c r="CA50" s="154"/>
      <c r="CB50" s="154">
        <v>86.520510325402498</v>
      </c>
      <c r="CC50" s="153" t="s">
        <v>212</v>
      </c>
      <c r="CD50" s="153">
        <v>56.493919879317581</v>
      </c>
      <c r="CE50" s="154"/>
      <c r="CF50" s="154">
        <v>63.899191019857149</v>
      </c>
      <c r="CG50" s="153" t="s">
        <v>211</v>
      </c>
      <c r="CH50" s="153">
        <v>13.421503284854847</v>
      </c>
      <c r="CI50" s="154"/>
      <c r="CJ50" s="154">
        <v>102.35729162401657</v>
      </c>
      <c r="CK50" s="153"/>
      <c r="CL50" s="153">
        <v>72.13293206711684</v>
      </c>
      <c r="CM50" s="154" t="s">
        <v>211</v>
      </c>
      <c r="CN50" s="154">
        <v>0</v>
      </c>
      <c r="CO50" s="153" t="s">
        <v>211</v>
      </c>
      <c r="CP50" s="153">
        <v>4.7248792009343159</v>
      </c>
    </row>
    <row r="51" spans="1:94" x14ac:dyDescent="0.2">
      <c r="A51" s="107">
        <v>2020</v>
      </c>
      <c r="B51" s="106" t="s">
        <v>170</v>
      </c>
      <c r="C51" s="156"/>
      <c r="D51" s="156">
        <v>5495.5082953035253</v>
      </c>
      <c r="E51" s="155"/>
      <c r="F51" s="155">
        <v>293.53960284283357</v>
      </c>
      <c r="G51" s="156"/>
      <c r="H51" s="156">
        <v>104.66039735985974</v>
      </c>
      <c r="I51" s="155"/>
      <c r="J51" s="155">
        <v>541.10249952389381</v>
      </c>
      <c r="K51" s="156" t="s">
        <v>211</v>
      </c>
      <c r="L51" s="156">
        <v>34.659846545896563</v>
      </c>
      <c r="M51" s="155"/>
      <c r="N51" s="155">
        <v>48.177411078824917</v>
      </c>
      <c r="O51" s="154"/>
      <c r="P51" s="154">
        <v>372.19342967051654</v>
      </c>
      <c r="Q51" s="153"/>
      <c r="R51" s="153">
        <v>904.00141317411601</v>
      </c>
      <c r="S51" s="154"/>
      <c r="T51" s="154">
        <v>338.26348445730031</v>
      </c>
      <c r="U51" s="153"/>
      <c r="V51" s="153">
        <v>191.44984737715771</v>
      </c>
      <c r="W51" s="154"/>
      <c r="X51" s="154">
        <v>132.8279565597943</v>
      </c>
      <c r="Y51" s="153"/>
      <c r="Z51" s="153">
        <v>167.19099933359394</v>
      </c>
      <c r="AA51" s="154"/>
      <c r="AB51" s="154">
        <v>42.600026875839504</v>
      </c>
      <c r="AC51" s="153"/>
      <c r="AD51" s="153">
        <v>246.00677659713901</v>
      </c>
      <c r="AE51" s="154"/>
      <c r="AF51" s="154">
        <v>370.6253927048561</v>
      </c>
      <c r="AG51" s="153"/>
      <c r="AH51" s="153">
        <v>607.38979114276117</v>
      </c>
      <c r="AI51" s="154"/>
      <c r="AJ51" s="154">
        <v>467.95879745920308</v>
      </c>
      <c r="AK51" s="153"/>
      <c r="AL51" s="153">
        <v>328.03476016356655</v>
      </c>
      <c r="AM51" s="154" t="s">
        <v>212</v>
      </c>
      <c r="AN51" s="154">
        <v>36.012845499176436</v>
      </c>
      <c r="AO51" s="153"/>
      <c r="AP51" s="153">
        <v>136.46959820209315</v>
      </c>
      <c r="AQ51" s="154"/>
      <c r="AR51" s="154">
        <v>119.60972893304834</v>
      </c>
      <c r="AS51" s="153" t="s">
        <v>211</v>
      </c>
      <c r="AT51" s="153">
        <v>0</v>
      </c>
      <c r="AU51" s="154" t="s">
        <v>211</v>
      </c>
      <c r="AV51" s="154">
        <v>12.733689802054956</v>
      </c>
      <c r="AW51" s="153"/>
      <c r="AX51" s="153">
        <v>1577.6842296302432</v>
      </c>
      <c r="AY51" s="154"/>
      <c r="AZ51" s="154">
        <v>149.13793179746102</v>
      </c>
      <c r="BA51" s="153" t="s">
        <v>211</v>
      </c>
      <c r="BB51" s="153">
        <v>2.675994784286738</v>
      </c>
      <c r="BC51" s="154"/>
      <c r="BD51" s="154">
        <v>174.82346535590401</v>
      </c>
      <c r="BE51" s="153" t="s">
        <v>211</v>
      </c>
      <c r="BF51" s="153">
        <v>0</v>
      </c>
      <c r="BG51" s="154" t="s">
        <v>211</v>
      </c>
      <c r="BH51" s="154">
        <v>7.5866302167003177</v>
      </c>
      <c r="BI51" s="153"/>
      <c r="BJ51" s="153">
        <v>172.91159825112018</v>
      </c>
      <c r="BK51" s="154"/>
      <c r="BL51" s="154">
        <v>362.63483896998235</v>
      </c>
      <c r="BM51" s="153"/>
      <c r="BN51" s="153">
        <v>108.28260280135595</v>
      </c>
      <c r="BO51" s="154"/>
      <c r="BP51" s="154">
        <v>64.939296024474316</v>
      </c>
      <c r="BQ51" s="153" t="s">
        <v>211</v>
      </c>
      <c r="BR51" s="153">
        <v>11.337009368029673</v>
      </c>
      <c r="BS51" s="154" t="s">
        <v>211</v>
      </c>
      <c r="BT51" s="154">
        <v>6.5939307457938021</v>
      </c>
      <c r="BU51" s="153" t="s">
        <v>211</v>
      </c>
      <c r="BV51" s="153">
        <v>9.4689265500256781</v>
      </c>
      <c r="BW51" s="154" t="s">
        <v>212</v>
      </c>
      <c r="BX51" s="154">
        <v>26.86000779103874</v>
      </c>
      <c r="BY51" s="153"/>
      <c r="BZ51" s="153">
        <v>69.029342260722885</v>
      </c>
      <c r="CA51" s="154"/>
      <c r="CB51" s="154">
        <v>91.003839824692164</v>
      </c>
      <c r="CC51" s="153"/>
      <c r="CD51" s="153">
        <v>54.761762289886569</v>
      </c>
      <c r="CE51" s="154"/>
      <c r="CF51" s="154">
        <v>71.068330880764222</v>
      </c>
      <c r="CG51" s="153" t="s">
        <v>211</v>
      </c>
      <c r="CH51" s="153">
        <v>14.412149847309895</v>
      </c>
      <c r="CI51" s="154"/>
      <c r="CJ51" s="154">
        <v>98.680085338840001</v>
      </c>
      <c r="CK51" s="153"/>
      <c r="CL51" s="153">
        <v>73.259523478336476</v>
      </c>
      <c r="CM51" s="154" t="s">
        <v>211</v>
      </c>
      <c r="CN51" s="154">
        <v>0</v>
      </c>
      <c r="CO51" s="153" t="s">
        <v>211</v>
      </c>
      <c r="CP51" s="153">
        <v>8.2169630535181781</v>
      </c>
    </row>
    <row r="52" spans="1:94" x14ac:dyDescent="0.2">
      <c r="A52" s="107">
        <v>2020</v>
      </c>
      <c r="B52" s="106" t="s">
        <v>169</v>
      </c>
      <c r="C52" s="156"/>
      <c r="D52" s="156">
        <v>5571.2624836936166</v>
      </c>
      <c r="E52" s="155"/>
      <c r="F52" s="155">
        <v>282.64337785916655</v>
      </c>
      <c r="G52" s="156"/>
      <c r="H52" s="156">
        <v>102.24008304960429</v>
      </c>
      <c r="I52" s="155"/>
      <c r="J52" s="155">
        <v>555.81951692111534</v>
      </c>
      <c r="K52" s="156" t="s">
        <v>212</v>
      </c>
      <c r="L52" s="156">
        <v>35.476147426808204</v>
      </c>
      <c r="M52" s="155"/>
      <c r="N52" s="155">
        <v>41.904638741542186</v>
      </c>
      <c r="O52" s="154"/>
      <c r="P52" s="154">
        <v>373.71176898926342</v>
      </c>
      <c r="Q52" s="153"/>
      <c r="R52" s="153">
        <v>916.04734743331494</v>
      </c>
      <c r="S52" s="154"/>
      <c r="T52" s="154">
        <v>330.32015046775371</v>
      </c>
      <c r="U52" s="153"/>
      <c r="V52" s="153">
        <v>198.62988750592032</v>
      </c>
      <c r="W52" s="154"/>
      <c r="X52" s="154">
        <v>123.86552332547505</v>
      </c>
      <c r="Y52" s="153"/>
      <c r="Z52" s="153">
        <v>170.24000326139287</v>
      </c>
      <c r="AA52" s="154"/>
      <c r="AB52" s="154">
        <v>44.844811531688514</v>
      </c>
      <c r="AC52" s="153"/>
      <c r="AD52" s="153">
        <v>249.64629982459613</v>
      </c>
      <c r="AE52" s="154"/>
      <c r="AF52" s="154">
        <v>398.47786035708077</v>
      </c>
      <c r="AG52" s="153"/>
      <c r="AH52" s="153">
        <v>618.7666470952347</v>
      </c>
      <c r="AI52" s="154"/>
      <c r="AJ52" s="154">
        <v>463.34029504183081</v>
      </c>
      <c r="AK52" s="153"/>
      <c r="AL52" s="153">
        <v>339.21323399889206</v>
      </c>
      <c r="AM52" s="154"/>
      <c r="AN52" s="154">
        <v>41.994407713437973</v>
      </c>
      <c r="AO52" s="153"/>
      <c r="AP52" s="153">
        <v>142.90531757626422</v>
      </c>
      <c r="AQ52" s="154"/>
      <c r="AR52" s="154">
        <v>121.45708667777522</v>
      </c>
      <c r="AS52" s="153" t="s">
        <v>211</v>
      </c>
      <c r="AT52" s="153">
        <v>1.3478885797032603</v>
      </c>
      <c r="AU52" s="154" t="s">
        <v>211</v>
      </c>
      <c r="AV52" s="154">
        <v>18.370190315756087</v>
      </c>
      <c r="AW52" s="153"/>
      <c r="AX52" s="153">
        <v>1620.1511145605982</v>
      </c>
      <c r="AY52" s="154"/>
      <c r="AZ52" s="154">
        <v>132.9857929919539</v>
      </c>
      <c r="BA52" s="153" t="s">
        <v>211</v>
      </c>
      <c r="BB52" s="153">
        <v>3.1772145447528986</v>
      </c>
      <c r="BC52" s="154"/>
      <c r="BD52" s="154">
        <v>174.87031339535028</v>
      </c>
      <c r="BE52" s="153" t="s">
        <v>211</v>
      </c>
      <c r="BF52" s="153">
        <v>0.22007402945077462</v>
      </c>
      <c r="BG52" s="154" t="s">
        <v>211</v>
      </c>
      <c r="BH52" s="154">
        <v>8.6506246226992278</v>
      </c>
      <c r="BI52" s="153"/>
      <c r="BJ52" s="153">
        <v>170.11354219357287</v>
      </c>
      <c r="BK52" s="154"/>
      <c r="BL52" s="154">
        <v>391.4170838033229</v>
      </c>
      <c r="BM52" s="153"/>
      <c r="BN52" s="153">
        <v>110.18136816869435</v>
      </c>
      <c r="BO52" s="154"/>
      <c r="BP52" s="154">
        <v>73.131757638331479</v>
      </c>
      <c r="BQ52" s="153" t="s">
        <v>211</v>
      </c>
      <c r="BR52" s="153">
        <v>11.797502642924943</v>
      </c>
      <c r="BS52" s="154" t="s">
        <v>211</v>
      </c>
      <c r="BT52" s="154">
        <v>8.2233046269996706</v>
      </c>
      <c r="BU52" s="153" t="s">
        <v>211</v>
      </c>
      <c r="BV52" s="153">
        <v>9.5093989120749072</v>
      </c>
      <c r="BW52" s="154" t="s">
        <v>212</v>
      </c>
      <c r="BX52" s="154">
        <v>27.468577692709673</v>
      </c>
      <c r="BY52" s="153"/>
      <c r="BZ52" s="153">
        <v>75.352859182360334</v>
      </c>
      <c r="CA52" s="154"/>
      <c r="CB52" s="154">
        <v>89.627144831961047</v>
      </c>
      <c r="CC52" s="153"/>
      <c r="CD52" s="153">
        <v>61.739713149918749</v>
      </c>
      <c r="CE52" s="154"/>
      <c r="CF52" s="154">
        <v>68.280821466180228</v>
      </c>
      <c r="CG52" s="153" t="s">
        <v>211</v>
      </c>
      <c r="CH52" s="153">
        <v>12.206399444152172</v>
      </c>
      <c r="CI52" s="154"/>
      <c r="CJ52" s="154">
        <v>105.94902507384501</v>
      </c>
      <c r="CK52" s="153"/>
      <c r="CL52" s="153">
        <v>78.429469392588004</v>
      </c>
      <c r="CM52" s="154" t="s">
        <v>211</v>
      </c>
      <c r="CN52" s="154">
        <v>0</v>
      </c>
      <c r="CO52" s="153" t="s">
        <v>211</v>
      </c>
      <c r="CP52" s="153">
        <v>6.8191267567548781</v>
      </c>
    </row>
    <row r="53" spans="1:94" x14ac:dyDescent="0.2">
      <c r="A53" s="107">
        <v>2020</v>
      </c>
      <c r="B53" s="106" t="s">
        <v>168</v>
      </c>
      <c r="C53" s="156"/>
      <c r="D53" s="156">
        <v>5635.1058287258102</v>
      </c>
      <c r="E53" s="155"/>
      <c r="F53" s="155">
        <v>310.77037054737548</v>
      </c>
      <c r="G53" s="156"/>
      <c r="H53" s="156">
        <v>102.3924495968007</v>
      </c>
      <c r="I53" s="155"/>
      <c r="J53" s="155">
        <v>554.65093266664508</v>
      </c>
      <c r="K53" s="156" t="s">
        <v>212</v>
      </c>
      <c r="L53" s="156">
        <v>37.240763831409879</v>
      </c>
      <c r="M53" s="155"/>
      <c r="N53" s="155">
        <v>48.787484745208133</v>
      </c>
      <c r="O53" s="154"/>
      <c r="P53" s="154">
        <v>376.96049338689568</v>
      </c>
      <c r="Q53" s="153"/>
      <c r="R53" s="153">
        <v>909.05655685359113</v>
      </c>
      <c r="S53" s="154"/>
      <c r="T53" s="154">
        <v>330.84170816607917</v>
      </c>
      <c r="U53" s="153"/>
      <c r="V53" s="153">
        <v>198.58919291223114</v>
      </c>
      <c r="W53" s="154"/>
      <c r="X53" s="154">
        <v>126.37068533230287</v>
      </c>
      <c r="Y53" s="153"/>
      <c r="Z53" s="153">
        <v>167.2323054516954</v>
      </c>
      <c r="AA53" s="154"/>
      <c r="AB53" s="154">
        <v>45.855532224156605</v>
      </c>
      <c r="AC53" s="153"/>
      <c r="AD53" s="153">
        <v>257.51958381838836</v>
      </c>
      <c r="AE53" s="154"/>
      <c r="AF53" s="154">
        <v>394.54243398344062</v>
      </c>
      <c r="AG53" s="153"/>
      <c r="AH53" s="153">
        <v>631.43172065558292</v>
      </c>
      <c r="AI53" s="154"/>
      <c r="AJ53" s="154">
        <v>464.32736497667622</v>
      </c>
      <c r="AK53" s="153"/>
      <c r="AL53" s="153">
        <v>338.44340116524546</v>
      </c>
      <c r="AM53" s="154"/>
      <c r="AN53" s="154">
        <v>44.147961537421274</v>
      </c>
      <c r="AO53" s="153"/>
      <c r="AP53" s="153">
        <v>153.39123184423141</v>
      </c>
      <c r="AQ53" s="154"/>
      <c r="AR53" s="154">
        <v>120.3054454682219</v>
      </c>
      <c r="AS53" s="153" t="s">
        <v>211</v>
      </c>
      <c r="AT53" s="153">
        <v>1.3626855526338479</v>
      </c>
      <c r="AU53" s="154" t="s">
        <v>211</v>
      </c>
      <c r="AV53" s="154">
        <v>20.885524009577193</v>
      </c>
      <c r="AW53" s="153"/>
      <c r="AX53" s="153">
        <v>1729.9494253068599</v>
      </c>
      <c r="AY53" s="154"/>
      <c r="AZ53" s="154">
        <v>159.2647784352101</v>
      </c>
      <c r="BA53" s="153" t="s">
        <v>211</v>
      </c>
      <c r="BB53" s="153">
        <v>3.811692727860835</v>
      </c>
      <c r="BC53" s="154"/>
      <c r="BD53" s="154">
        <v>200.97596916909487</v>
      </c>
      <c r="BE53" s="153" t="s">
        <v>211</v>
      </c>
      <c r="BF53" s="153">
        <v>1.1187936557954459</v>
      </c>
      <c r="BG53" s="154" t="s">
        <v>211</v>
      </c>
      <c r="BH53" s="154">
        <v>5.920736806504153</v>
      </c>
      <c r="BI53" s="153"/>
      <c r="BJ53" s="153">
        <v>189.39451465204795</v>
      </c>
      <c r="BK53" s="154"/>
      <c r="BL53" s="154">
        <v>406.93643352085832</v>
      </c>
      <c r="BM53" s="153"/>
      <c r="BN53" s="153">
        <v>113.14983743123756</v>
      </c>
      <c r="BO53" s="154"/>
      <c r="BP53" s="154">
        <v>72.66576774527995</v>
      </c>
      <c r="BQ53" s="153" t="s">
        <v>211</v>
      </c>
      <c r="BR53" s="153">
        <v>10.147640018699953</v>
      </c>
      <c r="BS53" s="154" t="s">
        <v>211</v>
      </c>
      <c r="BT53" s="154">
        <v>10.978227133406032</v>
      </c>
      <c r="BU53" s="153" t="s">
        <v>211</v>
      </c>
      <c r="BV53" s="153">
        <v>9.6902381939219726</v>
      </c>
      <c r="BW53" s="154" t="s">
        <v>212</v>
      </c>
      <c r="BX53" s="154">
        <v>36.926844457751827</v>
      </c>
      <c r="BY53" s="153"/>
      <c r="BZ53" s="153">
        <v>74.150715135314044</v>
      </c>
      <c r="CA53" s="154"/>
      <c r="CB53" s="154">
        <v>90.223071292024144</v>
      </c>
      <c r="CC53" s="153"/>
      <c r="CD53" s="153">
        <v>64.979024589746558</v>
      </c>
      <c r="CE53" s="154"/>
      <c r="CF53" s="154">
        <v>67.966268330495424</v>
      </c>
      <c r="CG53" s="153" t="s">
        <v>211</v>
      </c>
      <c r="CH53" s="153">
        <v>12.934963514292072</v>
      </c>
      <c r="CI53" s="154"/>
      <c r="CJ53" s="154">
        <v>105.52730885097114</v>
      </c>
      <c r="CK53" s="153"/>
      <c r="CL53" s="153">
        <v>83.269906643208287</v>
      </c>
      <c r="CM53" s="154" t="s">
        <v>211</v>
      </c>
      <c r="CN53" s="154">
        <v>0.43975187341196253</v>
      </c>
      <c r="CO53" s="153" t="s">
        <v>211</v>
      </c>
      <c r="CP53" s="153">
        <v>9.4769411297271908</v>
      </c>
    </row>
    <row r="54" spans="1:94" x14ac:dyDescent="0.2">
      <c r="A54" s="107">
        <v>2020</v>
      </c>
      <c r="B54" s="106" t="s">
        <v>167</v>
      </c>
      <c r="C54" s="156"/>
      <c r="D54" s="156">
        <v>5741.3850053321366</v>
      </c>
      <c r="E54" s="155"/>
      <c r="F54" s="155">
        <v>314.23401225474697</v>
      </c>
      <c r="G54" s="156"/>
      <c r="H54" s="156">
        <v>109.04492902915315</v>
      </c>
      <c r="I54" s="155"/>
      <c r="J54" s="155">
        <v>556.47027011873399</v>
      </c>
      <c r="K54" s="156" t="s">
        <v>212</v>
      </c>
      <c r="L54" s="156">
        <v>37.905017697721043</v>
      </c>
      <c r="M54" s="155"/>
      <c r="N54" s="155">
        <v>47.611543783481245</v>
      </c>
      <c r="O54" s="154"/>
      <c r="P54" s="154">
        <v>409.11113835356321</v>
      </c>
      <c r="Q54" s="153"/>
      <c r="R54" s="153">
        <v>920.10676470772182</v>
      </c>
      <c r="S54" s="154"/>
      <c r="T54" s="154">
        <v>343.353287939545</v>
      </c>
      <c r="U54" s="153"/>
      <c r="V54" s="153">
        <v>201.23620651392486</v>
      </c>
      <c r="W54" s="154"/>
      <c r="X54" s="154">
        <v>130.50163097868804</v>
      </c>
      <c r="Y54" s="153"/>
      <c r="Z54" s="153">
        <v>162.24557587330406</v>
      </c>
      <c r="AA54" s="154"/>
      <c r="AB54" s="154">
        <v>51.81432687329994</v>
      </c>
      <c r="AC54" s="153"/>
      <c r="AD54" s="153">
        <v>276.17455915177663</v>
      </c>
      <c r="AE54" s="154"/>
      <c r="AF54" s="154">
        <v>380.63459103415693</v>
      </c>
      <c r="AG54" s="153"/>
      <c r="AH54" s="153">
        <v>630.62120510065063</v>
      </c>
      <c r="AI54" s="154"/>
      <c r="AJ54" s="154">
        <v>482.694921086053</v>
      </c>
      <c r="AK54" s="153"/>
      <c r="AL54" s="153">
        <v>341.38325204307921</v>
      </c>
      <c r="AM54" s="154" t="s">
        <v>212</v>
      </c>
      <c r="AN54" s="154">
        <v>54.202022354037815</v>
      </c>
      <c r="AO54" s="153"/>
      <c r="AP54" s="153">
        <v>154.57756263936162</v>
      </c>
      <c r="AQ54" s="154"/>
      <c r="AR54" s="154">
        <v>115.93004879224263</v>
      </c>
      <c r="AS54" s="153" t="s">
        <v>211</v>
      </c>
      <c r="AT54" s="153">
        <v>1.3975001071426745</v>
      </c>
      <c r="AU54" s="154" t="s">
        <v>211</v>
      </c>
      <c r="AV54" s="154">
        <v>20.134638899751824</v>
      </c>
      <c r="AW54" s="153"/>
      <c r="AX54" s="153">
        <v>1926.2743929617168</v>
      </c>
      <c r="AY54" s="154"/>
      <c r="AZ54" s="154">
        <v>185.9998855357731</v>
      </c>
      <c r="BA54" s="153" t="s">
        <v>211</v>
      </c>
      <c r="BB54" s="153">
        <v>6.0412515206670534</v>
      </c>
      <c r="BC54" s="154"/>
      <c r="BD54" s="154">
        <v>219.29761776073352</v>
      </c>
      <c r="BE54" s="153" t="s">
        <v>211</v>
      </c>
      <c r="BF54" s="153">
        <v>1.4479278215957967</v>
      </c>
      <c r="BG54" s="154" t="s">
        <v>211</v>
      </c>
      <c r="BH54" s="154">
        <v>6.5923625910162498</v>
      </c>
      <c r="BI54" s="153"/>
      <c r="BJ54" s="153">
        <v>226.53437940816963</v>
      </c>
      <c r="BK54" s="154"/>
      <c r="BL54" s="154">
        <v>459.68079261502237</v>
      </c>
      <c r="BM54" s="153"/>
      <c r="BN54" s="153">
        <v>117.26283947410268</v>
      </c>
      <c r="BO54" s="154"/>
      <c r="BP54" s="154">
        <v>84.774584915337854</v>
      </c>
      <c r="BQ54" s="153" t="s">
        <v>211</v>
      </c>
      <c r="BR54" s="153">
        <v>15.880486320259752</v>
      </c>
      <c r="BS54" s="154" t="s">
        <v>211</v>
      </c>
      <c r="BT54" s="154">
        <v>13.991149293711612</v>
      </c>
      <c r="BU54" s="153" t="s">
        <v>211</v>
      </c>
      <c r="BV54" s="153">
        <v>9.4622735508379936</v>
      </c>
      <c r="BW54" s="154"/>
      <c r="BX54" s="154">
        <v>43.130957110946106</v>
      </c>
      <c r="BY54" s="153"/>
      <c r="BZ54" s="153">
        <v>86.616909401925568</v>
      </c>
      <c r="CA54" s="154"/>
      <c r="CB54" s="154">
        <v>94.658705819872793</v>
      </c>
      <c r="CC54" s="153"/>
      <c r="CD54" s="153">
        <v>66.670396018565867</v>
      </c>
      <c r="CE54" s="154"/>
      <c r="CF54" s="154">
        <v>69.750293972608134</v>
      </c>
      <c r="CG54" s="153" t="s">
        <v>211</v>
      </c>
      <c r="CH54" s="153">
        <v>13.8478822294107</v>
      </c>
      <c r="CI54" s="154"/>
      <c r="CJ54" s="154">
        <v>110.01333751217059</v>
      </c>
      <c r="CK54" s="153"/>
      <c r="CL54" s="153">
        <v>86.576387424875136</v>
      </c>
      <c r="CM54" s="154" t="s">
        <v>211</v>
      </c>
      <c r="CN54" s="154">
        <v>0.43105540677034593</v>
      </c>
      <c r="CO54" s="153" t="s">
        <v>211</v>
      </c>
      <c r="CP54" s="153">
        <v>7.612917257343998</v>
      </c>
    </row>
    <row r="55" spans="1:94" x14ac:dyDescent="0.2">
      <c r="A55" s="107">
        <v>2020</v>
      </c>
      <c r="B55" s="106" t="s">
        <v>166</v>
      </c>
      <c r="C55" s="156"/>
      <c r="D55" s="156">
        <v>5804.4440390325863</v>
      </c>
      <c r="E55" s="155"/>
      <c r="F55" s="155">
        <v>333.40063237191418</v>
      </c>
      <c r="G55" s="156"/>
      <c r="H55" s="156">
        <v>107.01604988035106</v>
      </c>
      <c r="I55" s="155"/>
      <c r="J55" s="155">
        <v>551.33350065651018</v>
      </c>
      <c r="K55" s="156" t="s">
        <v>212</v>
      </c>
      <c r="L55" s="156">
        <v>37.586848335847854</v>
      </c>
      <c r="M55" s="155"/>
      <c r="N55" s="155">
        <v>48.743405881808378</v>
      </c>
      <c r="O55" s="154"/>
      <c r="P55" s="154">
        <v>417.56035696334294</v>
      </c>
      <c r="Q55" s="153"/>
      <c r="R55" s="153">
        <v>964.35476100947574</v>
      </c>
      <c r="S55" s="154"/>
      <c r="T55" s="154">
        <v>344.93078236388919</v>
      </c>
      <c r="U55" s="153"/>
      <c r="V55" s="153">
        <v>187.39486049715697</v>
      </c>
      <c r="W55" s="154"/>
      <c r="X55" s="154">
        <v>138.11910437540106</v>
      </c>
      <c r="Y55" s="153"/>
      <c r="Z55" s="153">
        <v>164.86880847234326</v>
      </c>
      <c r="AA55" s="154"/>
      <c r="AB55" s="154">
        <v>53.858338740403646</v>
      </c>
      <c r="AC55" s="153"/>
      <c r="AD55" s="153">
        <v>287.69952792412568</v>
      </c>
      <c r="AE55" s="154"/>
      <c r="AF55" s="154">
        <v>364.60415180857535</v>
      </c>
      <c r="AG55" s="153"/>
      <c r="AH55" s="153">
        <v>625.93347786694574</v>
      </c>
      <c r="AI55" s="154"/>
      <c r="AJ55" s="154">
        <v>502.14822068132105</v>
      </c>
      <c r="AK55" s="153"/>
      <c r="AL55" s="153">
        <v>336.43007273337338</v>
      </c>
      <c r="AM55" s="154" t="s">
        <v>212</v>
      </c>
      <c r="AN55" s="154">
        <v>43.872144673585836</v>
      </c>
      <c r="AO55" s="153"/>
      <c r="AP55" s="153">
        <v>147.60785591307885</v>
      </c>
      <c r="AQ55" s="154"/>
      <c r="AR55" s="154">
        <v>128.62119322384291</v>
      </c>
      <c r="AS55" s="153" t="s">
        <v>211</v>
      </c>
      <c r="AT55" s="153">
        <v>0.63413862732150772</v>
      </c>
      <c r="AU55" s="154" t="s">
        <v>211</v>
      </c>
      <c r="AV55" s="154">
        <v>17.725806031970851</v>
      </c>
      <c r="AW55" s="153"/>
      <c r="AX55" s="153">
        <v>2112.2795820541578</v>
      </c>
      <c r="AY55" s="154"/>
      <c r="AZ55" s="154">
        <v>201.47086638188532</v>
      </c>
      <c r="BA55" s="153" t="s">
        <v>211</v>
      </c>
      <c r="BB55" s="153">
        <v>6.3586562676911917</v>
      </c>
      <c r="BC55" s="154"/>
      <c r="BD55" s="154">
        <v>230.74840939430749</v>
      </c>
      <c r="BE55" s="153" t="s">
        <v>211</v>
      </c>
      <c r="BF55" s="153">
        <v>1.2234867123472044</v>
      </c>
      <c r="BG55" s="154" t="s">
        <v>211</v>
      </c>
      <c r="BH55" s="154">
        <v>6.6934568823581611</v>
      </c>
      <c r="BI55" s="153"/>
      <c r="BJ55" s="153">
        <v>254.34032449988931</v>
      </c>
      <c r="BK55" s="154"/>
      <c r="BL55" s="154">
        <v>502.01526609466868</v>
      </c>
      <c r="BM55" s="153"/>
      <c r="BN55" s="153">
        <v>135.77645294915678</v>
      </c>
      <c r="BO55" s="154"/>
      <c r="BP55" s="154">
        <v>100.58310472291885</v>
      </c>
      <c r="BQ55" s="153" t="s">
        <v>211</v>
      </c>
      <c r="BR55" s="153">
        <v>18.457807618350877</v>
      </c>
      <c r="BS55" s="154" t="s">
        <v>211</v>
      </c>
      <c r="BT55" s="154">
        <v>9.0090551489496224</v>
      </c>
      <c r="BU55" s="153" t="s">
        <v>211</v>
      </c>
      <c r="BV55" s="153">
        <v>9.4814233968490402</v>
      </c>
      <c r="BW55" s="154"/>
      <c r="BX55" s="154">
        <v>43.307364742154697</v>
      </c>
      <c r="BY55" s="153"/>
      <c r="BZ55" s="153">
        <v>101.23334679304241</v>
      </c>
      <c r="CA55" s="154"/>
      <c r="CB55" s="154">
        <v>105.00036408526093</v>
      </c>
      <c r="CC55" s="153"/>
      <c r="CD55" s="153">
        <v>68.013023299096744</v>
      </c>
      <c r="CE55" s="154"/>
      <c r="CF55" s="154">
        <v>78.448036814663297</v>
      </c>
      <c r="CG55" s="153" t="s">
        <v>211</v>
      </c>
      <c r="CH55" s="153">
        <v>14.234240260367368</v>
      </c>
      <c r="CI55" s="154"/>
      <c r="CJ55" s="154">
        <v>119.91553925705325</v>
      </c>
      <c r="CK55" s="153"/>
      <c r="CL55" s="153">
        <v>96.026292706241478</v>
      </c>
      <c r="CM55" s="154" t="s">
        <v>211</v>
      </c>
      <c r="CN55" s="154">
        <v>0.42150325946428524</v>
      </c>
      <c r="CO55" s="153" t="s">
        <v>211</v>
      </c>
      <c r="CP55" s="153">
        <v>9.521560767440759</v>
      </c>
    </row>
    <row r="56" spans="1:94" x14ac:dyDescent="0.2">
      <c r="A56" s="107">
        <v>2020</v>
      </c>
      <c r="B56" s="106" t="s">
        <v>165</v>
      </c>
      <c r="C56" s="156"/>
      <c r="D56" s="156">
        <v>5860.9078465525836</v>
      </c>
      <c r="E56" s="155"/>
      <c r="F56" s="155">
        <v>357.21861834840911</v>
      </c>
      <c r="G56" s="156"/>
      <c r="H56" s="156">
        <v>107.65172954036095</v>
      </c>
      <c r="I56" s="155"/>
      <c r="J56" s="155">
        <v>544.87912650452506</v>
      </c>
      <c r="K56" s="156" t="s">
        <v>212</v>
      </c>
      <c r="L56" s="156">
        <v>37.953690386921757</v>
      </c>
      <c r="M56" s="155"/>
      <c r="N56" s="155">
        <v>47.408265185322222</v>
      </c>
      <c r="O56" s="154"/>
      <c r="P56" s="154">
        <v>435.35571836205617</v>
      </c>
      <c r="Q56" s="153"/>
      <c r="R56" s="153">
        <v>991.19859491898831</v>
      </c>
      <c r="S56" s="154"/>
      <c r="T56" s="154">
        <v>346.16079473591793</v>
      </c>
      <c r="U56" s="153"/>
      <c r="V56" s="153">
        <v>190.79800595211634</v>
      </c>
      <c r="W56" s="154"/>
      <c r="X56" s="154">
        <v>141.81896156751787</v>
      </c>
      <c r="Y56" s="153"/>
      <c r="Z56" s="153">
        <v>150.86758558899814</v>
      </c>
      <c r="AA56" s="154"/>
      <c r="AB56" s="154">
        <v>59.097828257030592</v>
      </c>
      <c r="AC56" s="153"/>
      <c r="AD56" s="153">
        <v>289.36170965481011</v>
      </c>
      <c r="AE56" s="154"/>
      <c r="AF56" s="154">
        <v>360.59926678728931</v>
      </c>
      <c r="AG56" s="153"/>
      <c r="AH56" s="153">
        <v>645.60054851707741</v>
      </c>
      <c r="AI56" s="154"/>
      <c r="AJ56" s="154">
        <v>490.41371464609546</v>
      </c>
      <c r="AK56" s="153"/>
      <c r="AL56" s="153">
        <v>334.28770038821705</v>
      </c>
      <c r="AM56" s="154" t="s">
        <v>212</v>
      </c>
      <c r="AN56" s="154">
        <v>44.244372219869483</v>
      </c>
      <c r="AO56" s="153"/>
      <c r="AP56" s="153">
        <v>140.37787657079116</v>
      </c>
      <c r="AQ56" s="154"/>
      <c r="AR56" s="154">
        <v>132.15505608635866</v>
      </c>
      <c r="AS56" s="153" t="s">
        <v>211</v>
      </c>
      <c r="AT56" s="153">
        <v>0.85001328041015412</v>
      </c>
      <c r="AU56" s="154" t="s">
        <v>211</v>
      </c>
      <c r="AV56" s="154">
        <v>12.608669053500451</v>
      </c>
      <c r="AW56" s="153"/>
      <c r="AX56" s="153">
        <v>2165.3087541988693</v>
      </c>
      <c r="AY56" s="154"/>
      <c r="AZ56" s="154">
        <v>208.44388909426161</v>
      </c>
      <c r="BA56" s="153" t="s">
        <v>211</v>
      </c>
      <c r="BB56" s="153">
        <v>5.808012207682145</v>
      </c>
      <c r="BC56" s="154"/>
      <c r="BD56" s="154">
        <v>210.26864864502215</v>
      </c>
      <c r="BE56" s="153" t="s">
        <v>211</v>
      </c>
      <c r="BF56" s="153">
        <v>0.90532097277909007</v>
      </c>
      <c r="BG56" s="154" t="s">
        <v>211</v>
      </c>
      <c r="BH56" s="154">
        <v>6.0461261726839002</v>
      </c>
      <c r="BI56" s="153"/>
      <c r="BJ56" s="153">
        <v>269.201391361596</v>
      </c>
      <c r="BK56" s="154"/>
      <c r="BL56" s="154">
        <v>507.1704996593607</v>
      </c>
      <c r="BM56" s="153"/>
      <c r="BN56" s="153">
        <v>143.73278374489001</v>
      </c>
      <c r="BO56" s="154"/>
      <c r="BP56" s="154">
        <v>116.16678979598399</v>
      </c>
      <c r="BQ56" s="153" t="s">
        <v>211</v>
      </c>
      <c r="BR56" s="153">
        <v>22.350831356699182</v>
      </c>
      <c r="BS56" s="154" t="s">
        <v>211</v>
      </c>
      <c r="BT56" s="154">
        <v>7.5629916145704108</v>
      </c>
      <c r="BU56" s="153" t="s">
        <v>211</v>
      </c>
      <c r="BV56" s="153">
        <v>10.238108774837714</v>
      </c>
      <c r="BW56" s="154"/>
      <c r="BX56" s="154">
        <v>43.484231600544277</v>
      </c>
      <c r="BY56" s="153"/>
      <c r="BZ56" s="153">
        <v>102.94765359983413</v>
      </c>
      <c r="CA56" s="154"/>
      <c r="CB56" s="154">
        <v>102.6990938360707</v>
      </c>
      <c r="CC56" s="153"/>
      <c r="CD56" s="153">
        <v>65.664858010865913</v>
      </c>
      <c r="CE56" s="154"/>
      <c r="CF56" s="154">
        <v>81.096700694131144</v>
      </c>
      <c r="CG56" s="153" t="s">
        <v>211</v>
      </c>
      <c r="CH56" s="153">
        <v>13.22184035265837</v>
      </c>
      <c r="CI56" s="154"/>
      <c r="CJ56" s="154">
        <v>139.70981560282817</v>
      </c>
      <c r="CK56" s="153"/>
      <c r="CL56" s="153">
        <v>99.421985185797496</v>
      </c>
      <c r="CM56" s="154" t="s">
        <v>211</v>
      </c>
      <c r="CN56" s="154">
        <v>0.4209665352491862</v>
      </c>
      <c r="CO56" s="153" t="s">
        <v>211</v>
      </c>
      <c r="CP56" s="153">
        <v>8.7462153805227647</v>
      </c>
    </row>
    <row r="57" spans="1:94" x14ac:dyDescent="0.2">
      <c r="A57" s="107">
        <v>2020</v>
      </c>
      <c r="B57" s="106" t="s">
        <v>164</v>
      </c>
      <c r="C57" s="156"/>
      <c r="D57" s="156">
        <v>5921.7702350451545</v>
      </c>
      <c r="E57" s="155"/>
      <c r="F57" s="155">
        <v>372.33650880990501</v>
      </c>
      <c r="G57" s="156"/>
      <c r="H57" s="156">
        <v>108.39724460401814</v>
      </c>
      <c r="I57" s="155"/>
      <c r="J57" s="155">
        <v>531.9776556340737</v>
      </c>
      <c r="K57" s="156" t="s">
        <v>212</v>
      </c>
      <c r="L57" s="156">
        <v>38.393572254154378</v>
      </c>
      <c r="M57" s="155"/>
      <c r="N57" s="155">
        <v>49.589891905359487</v>
      </c>
      <c r="O57" s="154"/>
      <c r="P57" s="154">
        <v>444.99076314620362</v>
      </c>
      <c r="Q57" s="153"/>
      <c r="R57" s="153">
        <v>1027.0496680473734</v>
      </c>
      <c r="S57" s="154"/>
      <c r="T57" s="154">
        <v>352.70275038169223</v>
      </c>
      <c r="U57" s="153"/>
      <c r="V57" s="153">
        <v>203.86734459006112</v>
      </c>
      <c r="W57" s="154"/>
      <c r="X57" s="154">
        <v>147.47849971405904</v>
      </c>
      <c r="Y57" s="153"/>
      <c r="Z57" s="153">
        <v>157.81421472888854</v>
      </c>
      <c r="AA57" s="154"/>
      <c r="AB57" s="154">
        <v>68.226751528199586</v>
      </c>
      <c r="AC57" s="153"/>
      <c r="AD57" s="153">
        <v>276.75229979086618</v>
      </c>
      <c r="AE57" s="154"/>
      <c r="AF57" s="154">
        <v>380.51988322606013</v>
      </c>
      <c r="AG57" s="153"/>
      <c r="AH57" s="153">
        <v>632.68085489260227</v>
      </c>
      <c r="AI57" s="154"/>
      <c r="AJ57" s="154">
        <v>476.8906557918649</v>
      </c>
      <c r="AK57" s="153"/>
      <c r="AL57" s="153">
        <v>338.68594527122985</v>
      </c>
      <c r="AM57" s="154"/>
      <c r="AN57" s="154">
        <v>34.292379431496627</v>
      </c>
      <c r="AO57" s="153"/>
      <c r="AP57" s="153">
        <v>148.08663769313199</v>
      </c>
      <c r="AQ57" s="154"/>
      <c r="AR57" s="154">
        <v>120.04807059572475</v>
      </c>
      <c r="AS57" s="153" t="s">
        <v>211</v>
      </c>
      <c r="AT57" s="153">
        <v>0.91947674889485254</v>
      </c>
      <c r="AU57" s="154" t="s">
        <v>211</v>
      </c>
      <c r="AV57" s="154">
        <v>10.069166259294697</v>
      </c>
      <c r="AW57" s="153"/>
      <c r="AX57" s="153">
        <v>2199.6497607922897</v>
      </c>
      <c r="AY57" s="154"/>
      <c r="AZ57" s="154">
        <v>213.80042062967433</v>
      </c>
      <c r="BA57" s="153" t="s">
        <v>211</v>
      </c>
      <c r="BB57" s="153">
        <v>4.6214141667714896</v>
      </c>
      <c r="BC57" s="154"/>
      <c r="BD57" s="154">
        <v>213.44802833411862</v>
      </c>
      <c r="BE57" s="153" t="s">
        <v>211</v>
      </c>
      <c r="BF57" s="153">
        <v>0.57655900578609953</v>
      </c>
      <c r="BG57" s="154" t="s">
        <v>211</v>
      </c>
      <c r="BH57" s="154">
        <v>8.232720874652065</v>
      </c>
      <c r="BI57" s="153"/>
      <c r="BJ57" s="153">
        <v>267.67392402878221</v>
      </c>
      <c r="BK57" s="154"/>
      <c r="BL57" s="154">
        <v>501.63562766700375</v>
      </c>
      <c r="BM57" s="153"/>
      <c r="BN57" s="153">
        <v>149.72269251808174</v>
      </c>
      <c r="BO57" s="154"/>
      <c r="BP57" s="154">
        <v>122.97339349617</v>
      </c>
      <c r="BQ57" s="153" t="s">
        <v>211</v>
      </c>
      <c r="BR57" s="153">
        <v>19.89077087897093</v>
      </c>
      <c r="BS57" s="154" t="s">
        <v>211</v>
      </c>
      <c r="BT57" s="154">
        <v>7.6893104912347052</v>
      </c>
      <c r="BU57" s="153" t="s">
        <v>211</v>
      </c>
      <c r="BV57" s="153">
        <v>11.587354377294323</v>
      </c>
      <c r="BW57" s="154"/>
      <c r="BX57" s="154">
        <v>44.663191498348375</v>
      </c>
      <c r="BY57" s="153"/>
      <c r="BZ57" s="153">
        <v>105.91644660592043</v>
      </c>
      <c r="CA57" s="154"/>
      <c r="CB57" s="154">
        <v>100.99157321632742</v>
      </c>
      <c r="CC57" s="153"/>
      <c r="CD57" s="153">
        <v>70.264508028199245</v>
      </c>
      <c r="CE57" s="154"/>
      <c r="CF57" s="154">
        <v>80.789153202830377</v>
      </c>
      <c r="CG57" s="153" t="s">
        <v>211</v>
      </c>
      <c r="CH57" s="153">
        <v>15.682512576481534</v>
      </c>
      <c r="CI57" s="154"/>
      <c r="CJ57" s="154">
        <v>143.29288544174463</v>
      </c>
      <c r="CK57" s="153"/>
      <c r="CL57" s="153">
        <v>106.84599991016344</v>
      </c>
      <c r="CM57" s="154" t="s">
        <v>211</v>
      </c>
      <c r="CN57" s="154">
        <v>0.81690433492109038</v>
      </c>
      <c r="CO57" s="153" t="s">
        <v>211</v>
      </c>
      <c r="CP57" s="153">
        <v>8.5343695088129756</v>
      </c>
    </row>
    <row r="58" spans="1:94" x14ac:dyDescent="0.2">
      <c r="A58" s="107">
        <v>2021</v>
      </c>
      <c r="B58" s="106" t="s">
        <v>163</v>
      </c>
      <c r="C58" s="156"/>
      <c r="D58" s="156">
        <v>6006.4522288350436</v>
      </c>
      <c r="E58" s="155"/>
      <c r="F58" s="155">
        <v>384.66351657117832</v>
      </c>
      <c r="G58" s="156"/>
      <c r="H58" s="156">
        <v>114.94134831846326</v>
      </c>
      <c r="I58" s="155"/>
      <c r="J58" s="155">
        <v>544.96861918134073</v>
      </c>
      <c r="K58" s="156" t="s">
        <v>212</v>
      </c>
      <c r="L58" s="156">
        <v>36.223271434124413</v>
      </c>
      <c r="M58" s="155"/>
      <c r="N58" s="155">
        <v>53.708499597549938</v>
      </c>
      <c r="O58" s="154"/>
      <c r="P58" s="154">
        <v>471.91102711408291</v>
      </c>
      <c r="Q58" s="153"/>
      <c r="R58" s="153">
        <v>1010.0579070815518</v>
      </c>
      <c r="S58" s="154"/>
      <c r="T58" s="154">
        <v>363.34835601438812</v>
      </c>
      <c r="U58" s="153"/>
      <c r="V58" s="153">
        <v>219.75049904988026</v>
      </c>
      <c r="W58" s="154"/>
      <c r="X58" s="154">
        <v>166.17929054460819</v>
      </c>
      <c r="Y58" s="153"/>
      <c r="Z58" s="153">
        <v>153.87803496265749</v>
      </c>
      <c r="AA58" s="154"/>
      <c r="AB58" s="154">
        <v>73.03088981553033</v>
      </c>
      <c r="AC58" s="153"/>
      <c r="AD58" s="153">
        <v>268.84603907776039</v>
      </c>
      <c r="AE58" s="154"/>
      <c r="AF58" s="154">
        <v>392.93467067504247</v>
      </c>
      <c r="AG58" s="153"/>
      <c r="AH58" s="153">
        <v>635.52960911732202</v>
      </c>
      <c r="AI58" s="154"/>
      <c r="AJ58" s="154">
        <v>458.58565818456498</v>
      </c>
      <c r="AK58" s="153"/>
      <c r="AL58" s="153">
        <v>335.73231052006105</v>
      </c>
      <c r="AM58" s="154"/>
      <c r="AN58" s="154">
        <v>44.984529681477859</v>
      </c>
      <c r="AO58" s="153"/>
      <c r="AP58" s="153">
        <v>139.754160579607</v>
      </c>
      <c r="AQ58" s="154"/>
      <c r="AR58" s="154">
        <v>118.94148570651856</v>
      </c>
      <c r="AS58" s="153" t="s">
        <v>211</v>
      </c>
      <c r="AT58" s="153">
        <v>0.14226426001757825</v>
      </c>
      <c r="AU58" s="154" t="s">
        <v>211</v>
      </c>
      <c r="AV58" s="154">
        <v>18.340241347315509</v>
      </c>
      <c r="AW58" s="153"/>
      <c r="AX58" s="153">
        <v>2161.1710806059828</v>
      </c>
      <c r="AY58" s="154"/>
      <c r="AZ58" s="154">
        <v>222.44256901682292</v>
      </c>
      <c r="BA58" s="153" t="s">
        <v>211</v>
      </c>
      <c r="BB58" s="153">
        <v>3.7760693327208648</v>
      </c>
      <c r="BC58" s="154"/>
      <c r="BD58" s="154">
        <v>209.95892084695132</v>
      </c>
      <c r="BE58" s="153" t="s">
        <v>211</v>
      </c>
      <c r="BF58" s="153">
        <v>0.83931001446787601</v>
      </c>
      <c r="BG58" s="154" t="s">
        <v>211</v>
      </c>
      <c r="BH58" s="154">
        <v>9.8903037818660273</v>
      </c>
      <c r="BI58" s="153"/>
      <c r="BJ58" s="153">
        <v>269.07063563907684</v>
      </c>
      <c r="BK58" s="154"/>
      <c r="BL58" s="154">
        <v>474.56320831842385</v>
      </c>
      <c r="BM58" s="153"/>
      <c r="BN58" s="153">
        <v>143.41262237009136</v>
      </c>
      <c r="BO58" s="154"/>
      <c r="BP58" s="154">
        <v>126.02018851101225</v>
      </c>
      <c r="BQ58" s="153" t="s">
        <v>211</v>
      </c>
      <c r="BR58" s="153">
        <v>20.036903292575278</v>
      </c>
      <c r="BS58" s="154" t="s">
        <v>211</v>
      </c>
      <c r="BT58" s="154">
        <v>8.6551602233198945</v>
      </c>
      <c r="BU58" s="153" t="s">
        <v>211</v>
      </c>
      <c r="BV58" s="153">
        <v>16.610189746861938</v>
      </c>
      <c r="BW58" s="154"/>
      <c r="BX58" s="154">
        <v>49.976501962934449</v>
      </c>
      <c r="BY58" s="153"/>
      <c r="BZ58" s="153">
        <v>109.88630948130455</v>
      </c>
      <c r="CA58" s="154"/>
      <c r="CB58" s="154">
        <v>87.361450624583213</v>
      </c>
      <c r="CC58" s="153"/>
      <c r="CD58" s="153">
        <v>54.445133809484801</v>
      </c>
      <c r="CE58" s="154"/>
      <c r="CF58" s="154">
        <v>76.595721458728974</v>
      </c>
      <c r="CG58" s="153" t="s">
        <v>211</v>
      </c>
      <c r="CH58" s="153">
        <v>16.186172865065181</v>
      </c>
      <c r="CI58" s="154"/>
      <c r="CJ58" s="154">
        <v>141.95672251369709</v>
      </c>
      <c r="CK58" s="153"/>
      <c r="CL58" s="153">
        <v>107.48063286898558</v>
      </c>
      <c r="CM58" s="154" t="s">
        <v>211</v>
      </c>
      <c r="CN58" s="154">
        <v>0.83350969031442468</v>
      </c>
      <c r="CO58" s="153" t="s">
        <v>211</v>
      </c>
      <c r="CP58" s="153">
        <v>11.172844236694175</v>
      </c>
    </row>
    <row r="59" spans="1:94" x14ac:dyDescent="0.2">
      <c r="A59" s="107">
        <v>2021</v>
      </c>
      <c r="B59" s="106" t="s">
        <v>162</v>
      </c>
      <c r="C59" s="156"/>
      <c r="D59" s="156">
        <v>5973.6741072693603</v>
      </c>
      <c r="E59" s="155"/>
      <c r="F59" s="155">
        <v>370.67482066137956</v>
      </c>
      <c r="G59" s="156"/>
      <c r="H59" s="156">
        <v>115.01498454075343</v>
      </c>
      <c r="I59" s="155"/>
      <c r="J59" s="155">
        <v>543.86107355742547</v>
      </c>
      <c r="K59" s="156" t="s">
        <v>212</v>
      </c>
      <c r="L59" s="156">
        <v>35.58795523951752</v>
      </c>
      <c r="M59" s="155"/>
      <c r="N59" s="155">
        <v>50.711722917696157</v>
      </c>
      <c r="O59" s="154"/>
      <c r="P59" s="154">
        <v>480.26627123748915</v>
      </c>
      <c r="Q59" s="153"/>
      <c r="R59" s="153">
        <v>998.5834339934753</v>
      </c>
      <c r="S59" s="154"/>
      <c r="T59" s="154">
        <v>359.14997844738792</v>
      </c>
      <c r="U59" s="153"/>
      <c r="V59" s="153">
        <v>223.80869072922607</v>
      </c>
      <c r="W59" s="154"/>
      <c r="X59" s="154">
        <v>176.73721996129441</v>
      </c>
      <c r="Y59" s="153"/>
      <c r="Z59" s="153">
        <v>156.47302057310537</v>
      </c>
      <c r="AA59" s="154"/>
      <c r="AB59" s="154">
        <v>66.556091092313139</v>
      </c>
      <c r="AC59" s="153"/>
      <c r="AD59" s="153">
        <v>275.302565514045</v>
      </c>
      <c r="AE59" s="154"/>
      <c r="AF59" s="154">
        <v>387.26167508548576</v>
      </c>
      <c r="AG59" s="153"/>
      <c r="AH59" s="153">
        <v>621.32904954953381</v>
      </c>
      <c r="AI59" s="154"/>
      <c r="AJ59" s="154">
        <v>465.06407816979106</v>
      </c>
      <c r="AK59" s="153"/>
      <c r="AL59" s="153">
        <v>332.32433683914724</v>
      </c>
      <c r="AM59" s="154"/>
      <c r="AN59" s="154">
        <v>42.58342685978225</v>
      </c>
      <c r="AO59" s="153"/>
      <c r="AP59" s="153">
        <v>126.60315349335698</v>
      </c>
      <c r="AQ59" s="154"/>
      <c r="AR59" s="154">
        <v>125.4767554366498</v>
      </c>
      <c r="AS59" s="153" t="s">
        <v>211</v>
      </c>
      <c r="AT59" s="153">
        <v>0</v>
      </c>
      <c r="AU59" s="154" t="s">
        <v>211</v>
      </c>
      <c r="AV59" s="154">
        <v>20.303803370504845</v>
      </c>
      <c r="AW59" s="153"/>
      <c r="AX59" s="153">
        <v>2174.5314612566599</v>
      </c>
      <c r="AY59" s="154"/>
      <c r="AZ59" s="154">
        <v>233.30905053343434</v>
      </c>
      <c r="BA59" s="153" t="s">
        <v>211</v>
      </c>
      <c r="BB59" s="153">
        <v>4.6776877828815877</v>
      </c>
      <c r="BC59" s="154"/>
      <c r="BD59" s="154">
        <v>223.64886981174774</v>
      </c>
      <c r="BE59" s="153" t="s">
        <v>211</v>
      </c>
      <c r="BF59" s="153">
        <v>0.42023198072556117</v>
      </c>
      <c r="BG59" s="154" t="s">
        <v>211</v>
      </c>
      <c r="BH59" s="154">
        <v>12.202690703774874</v>
      </c>
      <c r="BI59" s="153"/>
      <c r="BJ59" s="153">
        <v>276.65675224265993</v>
      </c>
      <c r="BK59" s="154"/>
      <c r="BL59" s="154">
        <v>475.86573035685905</v>
      </c>
      <c r="BM59" s="153"/>
      <c r="BN59" s="153">
        <v>143.04801571799482</v>
      </c>
      <c r="BO59" s="154"/>
      <c r="BP59" s="154">
        <v>125.88993318197944</v>
      </c>
      <c r="BQ59" s="153" t="s">
        <v>211</v>
      </c>
      <c r="BR59" s="153">
        <v>17.26829806238344</v>
      </c>
      <c r="BS59" s="154" t="s">
        <v>211</v>
      </c>
      <c r="BT59" s="154">
        <v>8.6677611400756049</v>
      </c>
      <c r="BU59" s="153" t="s">
        <v>211</v>
      </c>
      <c r="BV59" s="153">
        <v>14.407436646990909</v>
      </c>
      <c r="BW59" s="154"/>
      <c r="BX59" s="154">
        <v>43.449982100879382</v>
      </c>
      <c r="BY59" s="153"/>
      <c r="BZ59" s="153">
        <v>112.04575846531397</v>
      </c>
      <c r="CA59" s="154"/>
      <c r="CB59" s="154">
        <v>85.226954788735497</v>
      </c>
      <c r="CC59" s="153"/>
      <c r="CD59" s="153">
        <v>52.271478552030885</v>
      </c>
      <c r="CE59" s="154"/>
      <c r="CF59" s="154">
        <v>75.562123503842187</v>
      </c>
      <c r="CG59" s="153" t="s">
        <v>211</v>
      </c>
      <c r="CH59" s="153">
        <v>16.356549941605767</v>
      </c>
      <c r="CI59" s="154"/>
      <c r="CJ59" s="154">
        <v>133.17554608273642</v>
      </c>
      <c r="CK59" s="153"/>
      <c r="CL59" s="153">
        <v>110.20112721813796</v>
      </c>
      <c r="CM59" s="154" t="s">
        <v>211</v>
      </c>
      <c r="CN59" s="154">
        <v>0.76204096301015978</v>
      </c>
      <c r="CO59" s="153" t="s">
        <v>211</v>
      </c>
      <c r="CP59" s="153">
        <v>9.4174414788604182</v>
      </c>
    </row>
    <row r="60" spans="1:94" x14ac:dyDescent="0.2">
      <c r="A60" s="107">
        <v>2021</v>
      </c>
      <c r="B60" s="106" t="s">
        <v>173</v>
      </c>
      <c r="C60" s="156"/>
      <c r="D60" s="156">
        <v>5980.5721163606913</v>
      </c>
      <c r="E60" s="155"/>
      <c r="F60" s="155">
        <v>350.62327462770526</v>
      </c>
      <c r="G60" s="156"/>
      <c r="H60" s="156">
        <v>109.15138709374716</v>
      </c>
      <c r="I60" s="155"/>
      <c r="J60" s="155">
        <v>581.21742791888403</v>
      </c>
      <c r="K60" s="156" t="s">
        <v>212</v>
      </c>
      <c r="L60" s="156">
        <v>32.124825828618803</v>
      </c>
      <c r="M60" s="155"/>
      <c r="N60" s="155">
        <v>47.409491435919826</v>
      </c>
      <c r="O60" s="154"/>
      <c r="P60" s="154">
        <v>496.36488636533727</v>
      </c>
      <c r="Q60" s="153"/>
      <c r="R60" s="153">
        <v>1003.0637793416181</v>
      </c>
      <c r="S60" s="154"/>
      <c r="T60" s="154">
        <v>342.12333069978814</v>
      </c>
      <c r="U60" s="153"/>
      <c r="V60" s="153">
        <v>220.49680938963721</v>
      </c>
      <c r="W60" s="154"/>
      <c r="X60" s="154">
        <v>174.95120712815518</v>
      </c>
      <c r="Y60" s="153"/>
      <c r="Z60" s="153">
        <v>152.79748472370309</v>
      </c>
      <c r="AA60" s="154"/>
      <c r="AB60" s="154">
        <v>69.583227577527438</v>
      </c>
      <c r="AC60" s="153"/>
      <c r="AD60" s="153">
        <v>277.690453735581</v>
      </c>
      <c r="AE60" s="154"/>
      <c r="AF60" s="154">
        <v>385.67240679300198</v>
      </c>
      <c r="AG60" s="153"/>
      <c r="AH60" s="153">
        <v>631.62352358377007</v>
      </c>
      <c r="AI60" s="154"/>
      <c r="AJ60" s="154">
        <v>462.30583982340596</v>
      </c>
      <c r="AK60" s="153"/>
      <c r="AL60" s="153">
        <v>326.48262940410825</v>
      </c>
      <c r="AM60" s="154"/>
      <c r="AN60" s="154">
        <v>41.854688456241767</v>
      </c>
      <c r="AO60" s="153"/>
      <c r="AP60" s="153">
        <v>124.77839402052403</v>
      </c>
      <c r="AQ60" s="154"/>
      <c r="AR60" s="154">
        <v>131.74421082549785</v>
      </c>
      <c r="AS60" s="153" t="s">
        <v>211</v>
      </c>
      <c r="AT60" s="153">
        <v>0</v>
      </c>
      <c r="AU60" s="154" t="s">
        <v>211</v>
      </c>
      <c r="AV60" s="154">
        <v>18.512837587919378</v>
      </c>
      <c r="AW60" s="153"/>
      <c r="AX60" s="153">
        <v>2123.5566906234408</v>
      </c>
      <c r="AY60" s="154"/>
      <c r="AZ60" s="154">
        <v>214.71795504266203</v>
      </c>
      <c r="BA60" s="153" t="s">
        <v>211</v>
      </c>
      <c r="BB60" s="153">
        <v>4.0158179559791138</v>
      </c>
      <c r="BC60" s="154"/>
      <c r="BD60" s="154">
        <v>213.13261928929089</v>
      </c>
      <c r="BE60" s="153" t="s">
        <v>211</v>
      </c>
      <c r="BF60" s="153">
        <v>0.40155454222784054</v>
      </c>
      <c r="BG60" s="154" t="s">
        <v>211</v>
      </c>
      <c r="BH60" s="154">
        <v>10.698636610305726</v>
      </c>
      <c r="BI60" s="153"/>
      <c r="BJ60" s="153">
        <v>279.5165506158126</v>
      </c>
      <c r="BK60" s="154"/>
      <c r="BL60" s="154">
        <v>468.07900526973049</v>
      </c>
      <c r="BM60" s="153"/>
      <c r="BN60" s="153">
        <v>146.79121267526213</v>
      </c>
      <c r="BO60" s="154"/>
      <c r="BP60" s="154">
        <v>122.10425568619593</v>
      </c>
      <c r="BQ60" s="153" t="s">
        <v>211</v>
      </c>
      <c r="BR60" s="153">
        <v>17.597569819049564</v>
      </c>
      <c r="BS60" s="154" t="s">
        <v>211</v>
      </c>
      <c r="BT60" s="154">
        <v>8.6159509893754169</v>
      </c>
      <c r="BU60" s="153" t="s">
        <v>211</v>
      </c>
      <c r="BV60" s="153">
        <v>12.388934556756645</v>
      </c>
      <c r="BW60" s="154"/>
      <c r="BX60" s="154">
        <v>43.508394946189085</v>
      </c>
      <c r="BY60" s="153"/>
      <c r="BZ60" s="153">
        <v>104.45173102344798</v>
      </c>
      <c r="CA60" s="154"/>
      <c r="CB60" s="154">
        <v>84.032525820893753</v>
      </c>
      <c r="CC60" s="153"/>
      <c r="CD60" s="153">
        <v>54.83261282637924</v>
      </c>
      <c r="CE60" s="154"/>
      <c r="CF60" s="154">
        <v>72.66398982692597</v>
      </c>
      <c r="CG60" s="153" t="s">
        <v>211</v>
      </c>
      <c r="CH60" s="153">
        <v>15.574715051274389</v>
      </c>
      <c r="CI60" s="154"/>
      <c r="CJ60" s="154">
        <v>140.61995908046347</v>
      </c>
      <c r="CK60" s="153"/>
      <c r="CL60" s="153">
        <v>99.172863797963018</v>
      </c>
      <c r="CM60" s="154" t="s">
        <v>211</v>
      </c>
      <c r="CN60" s="154">
        <v>0.34790057129906238</v>
      </c>
      <c r="CO60" s="153" t="s">
        <v>211</v>
      </c>
      <c r="CP60" s="153">
        <v>10.291934625956495</v>
      </c>
    </row>
    <row r="61" spans="1:94" x14ac:dyDescent="0.2">
      <c r="A61" s="107">
        <v>2021</v>
      </c>
      <c r="B61" s="106" t="s">
        <v>172</v>
      </c>
      <c r="C61" s="156"/>
      <c r="D61" s="156">
        <v>5942.6783678765132</v>
      </c>
      <c r="E61" s="155"/>
      <c r="F61" s="155">
        <v>322.01362882079252</v>
      </c>
      <c r="G61" s="156"/>
      <c r="H61" s="156">
        <v>112.65556628646232</v>
      </c>
      <c r="I61" s="155"/>
      <c r="J61" s="155">
        <v>575.72789536646974</v>
      </c>
      <c r="K61" s="156"/>
      <c r="L61" s="156">
        <v>34.528511046999142</v>
      </c>
      <c r="M61" s="155"/>
      <c r="N61" s="155">
        <v>44.542521416190816</v>
      </c>
      <c r="O61" s="154"/>
      <c r="P61" s="154">
        <v>508.25303148334092</v>
      </c>
      <c r="Q61" s="153"/>
      <c r="R61" s="153">
        <v>992.07565499257453</v>
      </c>
      <c r="S61" s="154"/>
      <c r="T61" s="154">
        <v>346.41494434624491</v>
      </c>
      <c r="U61" s="153"/>
      <c r="V61" s="153">
        <v>221.82077007283547</v>
      </c>
      <c r="W61" s="154"/>
      <c r="X61" s="154">
        <v>176.48584127186243</v>
      </c>
      <c r="Y61" s="153"/>
      <c r="Z61" s="153">
        <v>149.43501287752244</v>
      </c>
      <c r="AA61" s="154"/>
      <c r="AB61" s="154">
        <v>64.600725109879519</v>
      </c>
      <c r="AC61" s="153"/>
      <c r="AD61" s="153">
        <v>286.27959070268184</v>
      </c>
      <c r="AE61" s="154"/>
      <c r="AF61" s="154">
        <v>375.99083438696738</v>
      </c>
      <c r="AG61" s="153"/>
      <c r="AH61" s="153">
        <v>628.48127185536964</v>
      </c>
      <c r="AI61" s="154"/>
      <c r="AJ61" s="154">
        <v>462.97781348392226</v>
      </c>
      <c r="AK61" s="153"/>
      <c r="AL61" s="153">
        <v>321.6707267185534</v>
      </c>
      <c r="AM61" s="154"/>
      <c r="AN61" s="154">
        <v>41.375159966604322</v>
      </c>
      <c r="AO61" s="153"/>
      <c r="AP61" s="153">
        <v>129.56169048339498</v>
      </c>
      <c r="AQ61" s="154"/>
      <c r="AR61" s="154">
        <v>133.16520624439153</v>
      </c>
      <c r="AS61" s="153" t="s">
        <v>211</v>
      </c>
      <c r="AT61" s="153">
        <v>0</v>
      </c>
      <c r="AU61" s="154" t="s">
        <v>211</v>
      </c>
      <c r="AV61" s="154">
        <v>14.6219709434524</v>
      </c>
      <c r="AW61" s="153"/>
      <c r="AX61" s="153">
        <v>2098.4321035338521</v>
      </c>
      <c r="AY61" s="154"/>
      <c r="AZ61" s="154">
        <v>197.51279050846958</v>
      </c>
      <c r="BA61" s="153" t="s">
        <v>211</v>
      </c>
      <c r="BB61" s="153">
        <v>5.452849093745419</v>
      </c>
      <c r="BC61" s="154"/>
      <c r="BD61" s="154">
        <v>205.50766807582016</v>
      </c>
      <c r="BE61" s="153" t="s">
        <v>211</v>
      </c>
      <c r="BF61" s="153">
        <v>1.4735931008956904</v>
      </c>
      <c r="BG61" s="154" t="s">
        <v>211</v>
      </c>
      <c r="BH61" s="154">
        <v>8.3597970682790468</v>
      </c>
      <c r="BI61" s="153"/>
      <c r="BJ61" s="153">
        <v>286.81947340506019</v>
      </c>
      <c r="BK61" s="154"/>
      <c r="BL61" s="154">
        <v>462.43228281274014</v>
      </c>
      <c r="BM61" s="153"/>
      <c r="BN61" s="153">
        <v>148.3937264115616</v>
      </c>
      <c r="BO61" s="154"/>
      <c r="BP61" s="154">
        <v>114.13064099833373</v>
      </c>
      <c r="BQ61" s="153" t="s">
        <v>211</v>
      </c>
      <c r="BR61" s="153">
        <v>15.89488955310043</v>
      </c>
      <c r="BS61" s="154" t="s">
        <v>211</v>
      </c>
      <c r="BT61" s="154">
        <v>8.7612088208285837</v>
      </c>
      <c r="BU61" s="153" t="s">
        <v>211</v>
      </c>
      <c r="BV61" s="153">
        <v>10.394431148631602</v>
      </c>
      <c r="BW61" s="154"/>
      <c r="BX61" s="154">
        <v>41.881241520642966</v>
      </c>
      <c r="BY61" s="153"/>
      <c r="BZ61" s="153">
        <v>93.530494323686568</v>
      </c>
      <c r="CA61" s="154"/>
      <c r="CB61" s="154">
        <v>88.630447705508317</v>
      </c>
      <c r="CC61" s="153"/>
      <c r="CD61" s="153">
        <v>58.353838308573685</v>
      </c>
      <c r="CE61" s="154"/>
      <c r="CF61" s="154">
        <v>80.091481868582406</v>
      </c>
      <c r="CG61" s="153" t="s">
        <v>211</v>
      </c>
      <c r="CH61" s="153">
        <v>16.996900706087136</v>
      </c>
      <c r="CI61" s="154"/>
      <c r="CJ61" s="154">
        <v>146.23707249094778</v>
      </c>
      <c r="CK61" s="153"/>
      <c r="CL61" s="153">
        <v>97.227591067614696</v>
      </c>
      <c r="CM61" s="154" t="s">
        <v>211</v>
      </c>
      <c r="CN61" s="154">
        <v>0.34645001052418289</v>
      </c>
      <c r="CO61" s="153" t="s">
        <v>211</v>
      </c>
      <c r="CP61" s="153">
        <v>10.003234534218237</v>
      </c>
    </row>
    <row r="62" spans="1:94" x14ac:dyDescent="0.2">
      <c r="A62" s="107">
        <v>2021</v>
      </c>
      <c r="B62" s="106" t="s">
        <v>171</v>
      </c>
      <c r="C62" s="156"/>
      <c r="D62" s="156">
        <v>5953.391374035119</v>
      </c>
      <c r="E62" s="155"/>
      <c r="F62" s="155">
        <v>313.25804745287508</v>
      </c>
      <c r="G62" s="156"/>
      <c r="H62" s="156">
        <v>110.68261857739643</v>
      </c>
      <c r="I62" s="155"/>
      <c r="J62" s="155">
        <v>593.81337103340013</v>
      </c>
      <c r="K62" s="156"/>
      <c r="L62" s="156">
        <v>29.684569038082223</v>
      </c>
      <c r="M62" s="155"/>
      <c r="N62" s="155">
        <v>46.026534787440767</v>
      </c>
      <c r="O62" s="154"/>
      <c r="P62" s="154">
        <v>519.05875176277186</v>
      </c>
      <c r="Q62" s="153"/>
      <c r="R62" s="153">
        <v>985.02860441972086</v>
      </c>
      <c r="S62" s="154"/>
      <c r="T62" s="154">
        <v>367.62893752409258</v>
      </c>
      <c r="U62" s="153"/>
      <c r="V62" s="153">
        <v>221.66596557964823</v>
      </c>
      <c r="W62" s="154"/>
      <c r="X62" s="154">
        <v>181.93292581550079</v>
      </c>
      <c r="Y62" s="153"/>
      <c r="Z62" s="153">
        <v>155.55833529278524</v>
      </c>
      <c r="AA62" s="154"/>
      <c r="AB62" s="154">
        <v>59.944615442910198</v>
      </c>
      <c r="AC62" s="153"/>
      <c r="AD62" s="153">
        <v>271.81807575986602</v>
      </c>
      <c r="AE62" s="154"/>
      <c r="AF62" s="154">
        <v>381.38138338117284</v>
      </c>
      <c r="AG62" s="153"/>
      <c r="AH62" s="153">
        <v>609.67512367563018</v>
      </c>
      <c r="AI62" s="154"/>
      <c r="AJ62" s="154">
        <v>460.02580202084528</v>
      </c>
      <c r="AK62" s="153"/>
      <c r="AL62" s="153">
        <v>330.19830835960698</v>
      </c>
      <c r="AM62" s="154"/>
      <c r="AN62" s="154">
        <v>41.865602002204199</v>
      </c>
      <c r="AO62" s="153"/>
      <c r="AP62" s="153">
        <v>136.51375828293862</v>
      </c>
      <c r="AQ62" s="154"/>
      <c r="AR62" s="154">
        <v>124.33491625560352</v>
      </c>
      <c r="AS62" s="153" t="s">
        <v>211</v>
      </c>
      <c r="AT62" s="153">
        <v>0</v>
      </c>
      <c r="AU62" s="154" t="s">
        <v>211</v>
      </c>
      <c r="AV62" s="154">
        <v>13.295127570627251</v>
      </c>
      <c r="AW62" s="153"/>
      <c r="AX62" s="153">
        <v>2087.8000405220687</v>
      </c>
      <c r="AY62" s="154"/>
      <c r="AZ62" s="154">
        <v>162.71794982179594</v>
      </c>
      <c r="BA62" s="153" t="s">
        <v>211</v>
      </c>
      <c r="BB62" s="153">
        <v>4.7745282801400855</v>
      </c>
      <c r="BC62" s="154"/>
      <c r="BD62" s="154">
        <v>198.9776038880261</v>
      </c>
      <c r="BE62" s="153" t="s">
        <v>211</v>
      </c>
      <c r="BF62" s="153">
        <v>1.8619839647120333</v>
      </c>
      <c r="BG62" s="154" t="s">
        <v>211</v>
      </c>
      <c r="BH62" s="154">
        <v>6.2084122829870401</v>
      </c>
      <c r="BI62" s="153"/>
      <c r="BJ62" s="153">
        <v>284.68307022111793</v>
      </c>
      <c r="BK62" s="154"/>
      <c r="BL62" s="154">
        <v>465.89929004228401</v>
      </c>
      <c r="BM62" s="153"/>
      <c r="BN62" s="153">
        <v>155.52981107468113</v>
      </c>
      <c r="BO62" s="154"/>
      <c r="BP62" s="154">
        <v>123.09541832990759</v>
      </c>
      <c r="BQ62" s="153" t="s">
        <v>212</v>
      </c>
      <c r="BR62" s="153">
        <v>19.825120186307885</v>
      </c>
      <c r="BS62" s="154" t="s">
        <v>211</v>
      </c>
      <c r="BT62" s="154">
        <v>6.4380903124394635</v>
      </c>
      <c r="BU62" s="153" t="s">
        <v>211</v>
      </c>
      <c r="BV62" s="153">
        <v>10.220510667935944</v>
      </c>
      <c r="BW62" s="154"/>
      <c r="BX62" s="154">
        <v>40.046180138490584</v>
      </c>
      <c r="BY62" s="153"/>
      <c r="BZ62" s="153">
        <v>91.732237879452754</v>
      </c>
      <c r="CA62" s="154"/>
      <c r="CB62" s="154">
        <v>90.506739027393138</v>
      </c>
      <c r="CC62" s="153"/>
      <c r="CD62" s="153">
        <v>61.400010044431312</v>
      </c>
      <c r="CE62" s="154"/>
      <c r="CF62" s="154">
        <v>83.125579497180468</v>
      </c>
      <c r="CG62" s="153" t="s">
        <v>211</v>
      </c>
      <c r="CH62" s="153">
        <v>18.097861668330243</v>
      </c>
      <c r="CI62" s="154"/>
      <c r="CJ62" s="154">
        <v>151.41766873398356</v>
      </c>
      <c r="CK62" s="153"/>
      <c r="CL62" s="153">
        <v>98.870110614200954</v>
      </c>
      <c r="CM62" s="154" t="s">
        <v>211</v>
      </c>
      <c r="CN62" s="154">
        <v>0</v>
      </c>
      <c r="CO62" s="153" t="s">
        <v>211</v>
      </c>
      <c r="CP62" s="153">
        <v>12.371863846270555</v>
      </c>
    </row>
    <row r="63" spans="1:94" x14ac:dyDescent="0.2">
      <c r="A63" s="107">
        <v>2021</v>
      </c>
      <c r="B63" s="106" t="s">
        <v>170</v>
      </c>
      <c r="C63" s="156"/>
      <c r="D63" s="156">
        <v>5957.6131634681506</v>
      </c>
      <c r="E63" s="155"/>
      <c r="F63" s="155">
        <v>301.18263141195331</v>
      </c>
      <c r="G63" s="156"/>
      <c r="H63" s="156">
        <v>118.96392208835078</v>
      </c>
      <c r="I63" s="155"/>
      <c r="J63" s="155">
        <v>591.67596322949998</v>
      </c>
      <c r="K63" s="156"/>
      <c r="L63" s="156">
        <v>33.921948519468415</v>
      </c>
      <c r="M63" s="155"/>
      <c r="N63" s="155">
        <v>47.874884682429915</v>
      </c>
      <c r="O63" s="154"/>
      <c r="P63" s="154">
        <v>510.10972070934298</v>
      </c>
      <c r="Q63" s="153"/>
      <c r="R63" s="153">
        <v>982.40993367933368</v>
      </c>
      <c r="S63" s="154"/>
      <c r="T63" s="154">
        <v>372.91684071166469</v>
      </c>
      <c r="U63" s="153"/>
      <c r="V63" s="153">
        <v>231.43316881342162</v>
      </c>
      <c r="W63" s="154"/>
      <c r="X63" s="154">
        <v>183.86434692096375</v>
      </c>
      <c r="Y63" s="153"/>
      <c r="Z63" s="153">
        <v>151.60549953948484</v>
      </c>
      <c r="AA63" s="154"/>
      <c r="AB63" s="154">
        <v>56.351281865294119</v>
      </c>
      <c r="AC63" s="153"/>
      <c r="AD63" s="153">
        <v>267.87765985576277</v>
      </c>
      <c r="AE63" s="154"/>
      <c r="AF63" s="154">
        <v>373.57961999721078</v>
      </c>
      <c r="AG63" s="153"/>
      <c r="AH63" s="153">
        <v>608.72616368093804</v>
      </c>
      <c r="AI63" s="154"/>
      <c r="AJ63" s="154">
        <v>458.82086765762608</v>
      </c>
      <c r="AK63" s="153"/>
      <c r="AL63" s="153">
        <v>341.23041778449021</v>
      </c>
      <c r="AM63" s="154"/>
      <c r="AN63" s="154">
        <v>48.334622967011157</v>
      </c>
      <c r="AO63" s="153"/>
      <c r="AP63" s="153">
        <v>138.88156769741053</v>
      </c>
      <c r="AQ63" s="154"/>
      <c r="AR63" s="154">
        <v>124.9307252922238</v>
      </c>
      <c r="AS63" s="153" t="s">
        <v>211</v>
      </c>
      <c r="AT63" s="153">
        <v>0</v>
      </c>
      <c r="AU63" s="154" t="s">
        <v>211</v>
      </c>
      <c r="AV63" s="154">
        <v>12.921376364269015</v>
      </c>
      <c r="AW63" s="153"/>
      <c r="AX63" s="153">
        <v>2191.3346314210894</v>
      </c>
      <c r="AY63" s="154"/>
      <c r="AZ63" s="154">
        <v>160.84814683893654</v>
      </c>
      <c r="BA63" s="153" t="s">
        <v>211</v>
      </c>
      <c r="BB63" s="153">
        <v>5.2851062368278789</v>
      </c>
      <c r="BC63" s="154"/>
      <c r="BD63" s="154">
        <v>204.76264820742969</v>
      </c>
      <c r="BE63" s="153" t="s">
        <v>211</v>
      </c>
      <c r="BF63" s="153">
        <v>2.5413409531620035</v>
      </c>
      <c r="BG63" s="154" t="s">
        <v>211</v>
      </c>
      <c r="BH63" s="154">
        <v>9.3686183791595266</v>
      </c>
      <c r="BI63" s="153"/>
      <c r="BJ63" s="153">
        <v>298.00385424821854</v>
      </c>
      <c r="BK63" s="154"/>
      <c r="BL63" s="154">
        <v>502.34871765928227</v>
      </c>
      <c r="BM63" s="153"/>
      <c r="BN63" s="153">
        <v>165.81331506957014</v>
      </c>
      <c r="BO63" s="154"/>
      <c r="BP63" s="154">
        <v>126.1065361523096</v>
      </c>
      <c r="BQ63" s="153" t="s">
        <v>211</v>
      </c>
      <c r="BR63" s="153">
        <v>19.732744097084773</v>
      </c>
      <c r="BS63" s="154" t="s">
        <v>211</v>
      </c>
      <c r="BT63" s="154">
        <v>5.8145905137815825</v>
      </c>
      <c r="BU63" s="153" t="s">
        <v>211</v>
      </c>
      <c r="BV63" s="153">
        <v>10.693412209551861</v>
      </c>
      <c r="BW63" s="154"/>
      <c r="BX63" s="154">
        <v>38.814658281891688</v>
      </c>
      <c r="BY63" s="153"/>
      <c r="BZ63" s="153">
        <v>96.344912591767837</v>
      </c>
      <c r="CA63" s="154"/>
      <c r="CB63" s="154">
        <v>100.83917948547172</v>
      </c>
      <c r="CC63" s="153"/>
      <c r="CD63" s="153">
        <v>67.845051526285033</v>
      </c>
      <c r="CE63" s="154"/>
      <c r="CF63" s="154">
        <v>86.958781420454997</v>
      </c>
      <c r="CG63" s="153" t="s">
        <v>211</v>
      </c>
      <c r="CH63" s="153">
        <v>18.685674353380939</v>
      </c>
      <c r="CI63" s="154"/>
      <c r="CJ63" s="154">
        <v>150.57656849871776</v>
      </c>
      <c r="CK63" s="153"/>
      <c r="CL63" s="153">
        <v>109.05678295015868</v>
      </c>
      <c r="CM63" s="154" t="s">
        <v>211</v>
      </c>
      <c r="CN63" s="154">
        <v>0</v>
      </c>
      <c r="CO63" s="153" t="s">
        <v>211</v>
      </c>
      <c r="CP63" s="153">
        <v>10.893991747646096</v>
      </c>
    </row>
    <row r="64" spans="1:94" x14ac:dyDescent="0.2">
      <c r="A64" s="107">
        <v>2021</v>
      </c>
      <c r="B64" s="106" t="s">
        <v>169</v>
      </c>
      <c r="C64" s="156"/>
      <c r="D64" s="156">
        <v>6018.1682382672616</v>
      </c>
      <c r="E64" s="155"/>
      <c r="F64" s="155">
        <v>299.55443542397137</v>
      </c>
      <c r="G64" s="156"/>
      <c r="H64" s="156">
        <v>118.94647668025085</v>
      </c>
      <c r="I64" s="155"/>
      <c r="J64" s="155">
        <v>593.15503650395715</v>
      </c>
      <c r="K64" s="156"/>
      <c r="L64" s="156">
        <v>34.276882219886723</v>
      </c>
      <c r="M64" s="155"/>
      <c r="N64" s="155">
        <v>47.069156465578686</v>
      </c>
      <c r="O64" s="154"/>
      <c r="P64" s="154">
        <v>512.98234978736298</v>
      </c>
      <c r="Q64" s="153"/>
      <c r="R64" s="153">
        <v>1008.7154034797638</v>
      </c>
      <c r="S64" s="154"/>
      <c r="T64" s="154">
        <v>369.21669922304505</v>
      </c>
      <c r="U64" s="153"/>
      <c r="V64" s="153">
        <v>233.5953091095277</v>
      </c>
      <c r="W64" s="154"/>
      <c r="X64" s="154">
        <v>179.16290588986925</v>
      </c>
      <c r="Y64" s="153"/>
      <c r="Z64" s="153">
        <v>150.37538025565109</v>
      </c>
      <c r="AA64" s="154"/>
      <c r="AB64" s="154">
        <v>60.397043146665908</v>
      </c>
      <c r="AC64" s="153"/>
      <c r="AD64" s="153">
        <v>276.36961199145088</v>
      </c>
      <c r="AE64" s="154"/>
      <c r="AF64" s="154">
        <v>387.94610278257699</v>
      </c>
      <c r="AG64" s="153"/>
      <c r="AH64" s="153">
        <v>609.95157687077199</v>
      </c>
      <c r="AI64" s="154"/>
      <c r="AJ64" s="154">
        <v>461.12209179891158</v>
      </c>
      <c r="AK64" s="153"/>
      <c r="AL64" s="153">
        <v>345.35324237003232</v>
      </c>
      <c r="AM64" s="154"/>
      <c r="AN64" s="154">
        <v>47.325916772200351</v>
      </c>
      <c r="AO64" s="153"/>
      <c r="AP64" s="153">
        <v>144.90154905874957</v>
      </c>
      <c r="AQ64" s="154"/>
      <c r="AR64" s="154">
        <v>124.38073173718772</v>
      </c>
      <c r="AS64" s="153" t="s">
        <v>211</v>
      </c>
      <c r="AT64" s="153">
        <v>0.68632498400383835</v>
      </c>
      <c r="AU64" s="154" t="s">
        <v>211</v>
      </c>
      <c r="AV64" s="154">
        <v>12.684011715845328</v>
      </c>
      <c r="AW64" s="153"/>
      <c r="AX64" s="153">
        <v>2240.6070051503684</v>
      </c>
      <c r="AY64" s="154"/>
      <c r="AZ64" s="154">
        <v>168.76182442091829</v>
      </c>
      <c r="BA64" s="153" t="s">
        <v>211</v>
      </c>
      <c r="BB64" s="153">
        <v>6.7722720143494834</v>
      </c>
      <c r="BC64" s="154"/>
      <c r="BD64" s="154">
        <v>206.45634282552405</v>
      </c>
      <c r="BE64" s="153" t="s">
        <v>211</v>
      </c>
      <c r="BF64" s="153">
        <v>2.8937336436053949</v>
      </c>
      <c r="BG64" s="154" t="s">
        <v>211</v>
      </c>
      <c r="BH64" s="154">
        <v>11.690956911772167</v>
      </c>
      <c r="BI64" s="153"/>
      <c r="BJ64" s="153">
        <v>303.90202882658372</v>
      </c>
      <c r="BK64" s="154"/>
      <c r="BL64" s="154">
        <v>511.43387337308917</v>
      </c>
      <c r="BM64" s="153"/>
      <c r="BN64" s="153">
        <v>167.91736717922518</v>
      </c>
      <c r="BO64" s="154"/>
      <c r="BP64" s="154">
        <v>145.72535099260213</v>
      </c>
      <c r="BQ64" s="153" t="s">
        <v>211</v>
      </c>
      <c r="BR64" s="153">
        <v>18.433042627625472</v>
      </c>
      <c r="BS64" s="154" t="s">
        <v>211</v>
      </c>
      <c r="BT64" s="154">
        <v>8.7109549605758563</v>
      </c>
      <c r="BU64" s="153" t="s">
        <v>211</v>
      </c>
      <c r="BV64" s="153">
        <v>10.13146149349509</v>
      </c>
      <c r="BW64" s="154"/>
      <c r="BX64" s="154">
        <v>38.185963081858645</v>
      </c>
      <c r="BY64" s="153"/>
      <c r="BZ64" s="153">
        <v>98.821922146850369</v>
      </c>
      <c r="CA64" s="154"/>
      <c r="CB64" s="154">
        <v>94.012153707117662</v>
      </c>
      <c r="CC64" s="153"/>
      <c r="CD64" s="153">
        <v>66.882148422610058</v>
      </c>
      <c r="CE64" s="154"/>
      <c r="CF64" s="154">
        <v>88.835307644501881</v>
      </c>
      <c r="CG64" s="153" t="s">
        <v>211</v>
      </c>
      <c r="CH64" s="153">
        <v>17.571574528067838</v>
      </c>
      <c r="CI64" s="154"/>
      <c r="CJ64" s="154">
        <v>149.00303689154086</v>
      </c>
      <c r="CK64" s="153"/>
      <c r="CL64" s="153">
        <v>114.49391252218949</v>
      </c>
      <c r="CM64" s="154" t="s">
        <v>211</v>
      </c>
      <c r="CN64" s="154">
        <v>0</v>
      </c>
      <c r="CO64" s="153" t="s">
        <v>211</v>
      </c>
      <c r="CP64" s="153">
        <v>9.9717769362655311</v>
      </c>
    </row>
    <row r="65" spans="1:94" x14ac:dyDescent="0.2">
      <c r="A65" s="107">
        <v>2021</v>
      </c>
      <c r="B65" s="106" t="s">
        <v>168</v>
      </c>
      <c r="C65" s="156"/>
      <c r="D65" s="156">
        <v>6037.8683577822931</v>
      </c>
      <c r="E65" s="155"/>
      <c r="F65" s="155">
        <v>294.50322339527554</v>
      </c>
      <c r="G65" s="156"/>
      <c r="H65" s="156">
        <v>123.09495190456812</v>
      </c>
      <c r="I65" s="155"/>
      <c r="J65" s="155">
        <v>592.34269990130952</v>
      </c>
      <c r="K65" s="156"/>
      <c r="L65" s="156">
        <v>37.080486972580346</v>
      </c>
      <c r="M65" s="155"/>
      <c r="N65" s="155">
        <v>45.018478031201354</v>
      </c>
      <c r="O65" s="154"/>
      <c r="P65" s="154">
        <v>512.34141148141691</v>
      </c>
      <c r="Q65" s="153"/>
      <c r="R65" s="153">
        <v>1010.3794343700582</v>
      </c>
      <c r="S65" s="154"/>
      <c r="T65" s="154">
        <v>355.15509385341716</v>
      </c>
      <c r="U65" s="153"/>
      <c r="V65" s="153">
        <v>244.21358736961511</v>
      </c>
      <c r="W65" s="154"/>
      <c r="X65" s="154">
        <v>176.0395520098258</v>
      </c>
      <c r="Y65" s="153"/>
      <c r="Z65" s="153">
        <v>144.89965447267252</v>
      </c>
      <c r="AA65" s="154"/>
      <c r="AB65" s="154">
        <v>59.561042717653017</v>
      </c>
      <c r="AC65" s="153"/>
      <c r="AD65" s="153">
        <v>290.09975978443424</v>
      </c>
      <c r="AE65" s="154"/>
      <c r="AF65" s="154">
        <v>393.27740574873974</v>
      </c>
      <c r="AG65" s="153"/>
      <c r="AH65" s="153">
        <v>619.27742671449141</v>
      </c>
      <c r="AI65" s="154"/>
      <c r="AJ65" s="154">
        <v>448.42576120998922</v>
      </c>
      <c r="AK65" s="153"/>
      <c r="AL65" s="153">
        <v>346.4678538487189</v>
      </c>
      <c r="AM65" s="154"/>
      <c r="AN65" s="154">
        <v>47.532509653333477</v>
      </c>
      <c r="AO65" s="153"/>
      <c r="AP65" s="153">
        <v>154.84588319842823</v>
      </c>
      <c r="AQ65" s="154"/>
      <c r="AR65" s="154">
        <v>125.82219670522976</v>
      </c>
      <c r="AS65" s="153" t="s">
        <v>211</v>
      </c>
      <c r="AT65" s="153">
        <v>0.94523113023231642</v>
      </c>
      <c r="AU65" s="154" t="s">
        <v>211</v>
      </c>
      <c r="AV65" s="154">
        <v>16.544713309102306</v>
      </c>
      <c r="AW65" s="153"/>
      <c r="AX65" s="153">
        <v>2307.3713777059961</v>
      </c>
      <c r="AY65" s="154"/>
      <c r="AZ65" s="154">
        <v>178.17982010867038</v>
      </c>
      <c r="BA65" s="153" t="s">
        <v>211</v>
      </c>
      <c r="BB65" s="153">
        <v>6.8256905630062095</v>
      </c>
      <c r="BC65" s="154"/>
      <c r="BD65" s="154">
        <v>213.59734019966879</v>
      </c>
      <c r="BE65" s="153" t="s">
        <v>211</v>
      </c>
      <c r="BF65" s="153">
        <v>4.8955762280053099</v>
      </c>
      <c r="BG65" s="154" t="s">
        <v>211</v>
      </c>
      <c r="BH65" s="154">
        <v>11.508720984831905</v>
      </c>
      <c r="BI65" s="153"/>
      <c r="BJ65" s="153">
        <v>307.41603511272547</v>
      </c>
      <c r="BK65" s="154"/>
      <c r="BL65" s="154">
        <v>531.47742822478051</v>
      </c>
      <c r="BM65" s="153"/>
      <c r="BN65" s="153">
        <v>156.60759891973194</v>
      </c>
      <c r="BO65" s="154"/>
      <c r="BP65" s="154">
        <v>148.9604840399991</v>
      </c>
      <c r="BQ65" s="153" t="s">
        <v>211</v>
      </c>
      <c r="BR65" s="153">
        <v>15.381124875839616</v>
      </c>
      <c r="BS65" s="154" t="s">
        <v>211</v>
      </c>
      <c r="BT65" s="154">
        <v>10.992567247172799</v>
      </c>
      <c r="BU65" s="153" t="s">
        <v>211</v>
      </c>
      <c r="BV65" s="153">
        <v>11.884292972396004</v>
      </c>
      <c r="BW65" s="154"/>
      <c r="BX65" s="154">
        <v>43.319554567015238</v>
      </c>
      <c r="BY65" s="153"/>
      <c r="BZ65" s="153">
        <v>105.24165132769402</v>
      </c>
      <c r="CA65" s="154"/>
      <c r="CB65" s="154">
        <v>95.187510362384643</v>
      </c>
      <c r="CC65" s="153"/>
      <c r="CD65" s="153">
        <v>70.173248257425968</v>
      </c>
      <c r="CE65" s="154"/>
      <c r="CF65" s="154">
        <v>91.394005463088362</v>
      </c>
      <c r="CG65" s="153" t="s">
        <v>212</v>
      </c>
      <c r="CH65" s="153">
        <v>23.381494835366848</v>
      </c>
      <c r="CI65" s="154"/>
      <c r="CJ65" s="154">
        <v>152.20423989573979</v>
      </c>
      <c r="CK65" s="153"/>
      <c r="CL65" s="153">
        <v>119.18471638575122</v>
      </c>
      <c r="CM65" s="154" t="s">
        <v>211</v>
      </c>
      <c r="CN65" s="154">
        <v>0</v>
      </c>
      <c r="CO65" s="153" t="s">
        <v>211</v>
      </c>
      <c r="CP65" s="153">
        <v>9.5582771347018198</v>
      </c>
    </row>
    <row r="66" spans="1:94" x14ac:dyDescent="0.2">
      <c r="A66" s="107">
        <v>2021</v>
      </c>
      <c r="B66" s="106" t="s">
        <v>167</v>
      </c>
      <c r="C66" s="156"/>
      <c r="D66" s="156">
        <v>6094.8459028199222</v>
      </c>
      <c r="E66" s="155"/>
      <c r="F66" s="155">
        <v>297.89790559604631</v>
      </c>
      <c r="G66" s="156"/>
      <c r="H66" s="156">
        <v>129.92600829813966</v>
      </c>
      <c r="I66" s="155"/>
      <c r="J66" s="155">
        <v>581.71449872180108</v>
      </c>
      <c r="K66" s="156"/>
      <c r="L66" s="156">
        <v>34.364481954636787</v>
      </c>
      <c r="M66" s="155"/>
      <c r="N66" s="155">
        <v>48.592550739359304</v>
      </c>
      <c r="O66" s="154"/>
      <c r="P66" s="154">
        <v>534.61662641431712</v>
      </c>
      <c r="Q66" s="153"/>
      <c r="R66" s="153">
        <v>1024.1327361363342</v>
      </c>
      <c r="S66" s="154"/>
      <c r="T66" s="154">
        <v>344.85475283028296</v>
      </c>
      <c r="U66" s="153"/>
      <c r="V66" s="153">
        <v>258.39563454933381</v>
      </c>
      <c r="W66" s="154"/>
      <c r="X66" s="154">
        <v>179.68303997009087</v>
      </c>
      <c r="Y66" s="153"/>
      <c r="Z66" s="153">
        <v>136.91255986979513</v>
      </c>
      <c r="AA66" s="154"/>
      <c r="AB66" s="154">
        <v>61.742500282418575</v>
      </c>
      <c r="AC66" s="153"/>
      <c r="AD66" s="153">
        <v>302.35421486859076</v>
      </c>
      <c r="AE66" s="154"/>
      <c r="AF66" s="154">
        <v>404.5873036600214</v>
      </c>
      <c r="AG66" s="153"/>
      <c r="AH66" s="153">
        <v>604.70087223797577</v>
      </c>
      <c r="AI66" s="154"/>
      <c r="AJ66" s="154">
        <v>448.35148841937121</v>
      </c>
      <c r="AK66" s="153"/>
      <c r="AL66" s="153">
        <v>360.7709508789199</v>
      </c>
      <c r="AM66" s="154"/>
      <c r="AN66" s="154">
        <v>42.664829363326774</v>
      </c>
      <c r="AO66" s="153"/>
      <c r="AP66" s="153">
        <v>142.48835762431582</v>
      </c>
      <c r="AQ66" s="154"/>
      <c r="AR66" s="154">
        <v>137.51168080566131</v>
      </c>
      <c r="AS66" s="153" t="s">
        <v>211</v>
      </c>
      <c r="AT66" s="153">
        <v>1.1252878619965978</v>
      </c>
      <c r="AU66" s="154" t="s">
        <v>211</v>
      </c>
      <c r="AV66" s="154">
        <v>17.457621737186695</v>
      </c>
      <c r="AW66" s="153"/>
      <c r="AX66" s="153">
        <v>2361.6653507367828</v>
      </c>
      <c r="AY66" s="154"/>
      <c r="AZ66" s="154">
        <v>185.23000829098731</v>
      </c>
      <c r="BA66" s="153" t="s">
        <v>211</v>
      </c>
      <c r="BB66" s="153">
        <v>7.2134808665179735</v>
      </c>
      <c r="BC66" s="154"/>
      <c r="BD66" s="154">
        <v>214.28362792348383</v>
      </c>
      <c r="BE66" s="153" t="s">
        <v>211</v>
      </c>
      <c r="BF66" s="153">
        <v>4.6860722346988215</v>
      </c>
      <c r="BG66" s="154" t="s">
        <v>211</v>
      </c>
      <c r="BH66" s="154">
        <v>9.1465660183826412</v>
      </c>
      <c r="BI66" s="153"/>
      <c r="BJ66" s="153">
        <v>311.51303606221495</v>
      </c>
      <c r="BK66" s="154"/>
      <c r="BL66" s="154">
        <v>546.16582770969637</v>
      </c>
      <c r="BM66" s="153"/>
      <c r="BN66" s="153">
        <v>148.50218070459761</v>
      </c>
      <c r="BO66" s="154"/>
      <c r="BP66" s="154">
        <v>160.80215711768605</v>
      </c>
      <c r="BQ66" s="153" t="s">
        <v>211</v>
      </c>
      <c r="BR66" s="153">
        <v>15.295425832377772</v>
      </c>
      <c r="BS66" s="154" t="s">
        <v>211</v>
      </c>
      <c r="BT66" s="154">
        <v>10.082097484346662</v>
      </c>
      <c r="BU66" s="153" t="s">
        <v>211</v>
      </c>
      <c r="BV66" s="153">
        <v>12.342244142258204</v>
      </c>
      <c r="BW66" s="154"/>
      <c r="BX66" s="154">
        <v>50.687596844777431</v>
      </c>
      <c r="BY66" s="153"/>
      <c r="BZ66" s="153">
        <v>104.64920143315527</v>
      </c>
      <c r="CA66" s="154"/>
      <c r="CB66" s="154">
        <v>84.076861213484761</v>
      </c>
      <c r="CC66" s="153"/>
      <c r="CD66" s="153">
        <v>72.354052395009376</v>
      </c>
      <c r="CE66" s="154"/>
      <c r="CF66" s="154">
        <v>95.530748899547078</v>
      </c>
      <c r="CG66" s="153" t="s">
        <v>212</v>
      </c>
      <c r="CH66" s="153">
        <v>25.337273791579801</v>
      </c>
      <c r="CI66" s="154"/>
      <c r="CJ66" s="154">
        <v>159.49363809958464</v>
      </c>
      <c r="CK66" s="153"/>
      <c r="CL66" s="153">
        <v>129.39248393113087</v>
      </c>
      <c r="CM66" s="154" t="s">
        <v>211</v>
      </c>
      <c r="CN66" s="154">
        <v>0</v>
      </c>
      <c r="CO66" s="153" t="s">
        <v>211</v>
      </c>
      <c r="CP66" s="153">
        <v>14.880769741265464</v>
      </c>
    </row>
    <row r="67" spans="1:94" x14ac:dyDescent="0.2">
      <c r="A67" s="107">
        <v>2021</v>
      </c>
      <c r="B67" s="106" t="s">
        <v>166</v>
      </c>
      <c r="C67" s="156"/>
      <c r="D67" s="156">
        <v>6143.7825392033701</v>
      </c>
      <c r="E67" s="155"/>
      <c r="F67" s="155">
        <v>317.83736292298977</v>
      </c>
      <c r="G67" s="156"/>
      <c r="H67" s="156">
        <v>134.11186844105791</v>
      </c>
      <c r="I67" s="155"/>
      <c r="J67" s="155">
        <v>603.56110244024558</v>
      </c>
      <c r="K67" s="156"/>
      <c r="L67" s="156">
        <v>32.111984942622854</v>
      </c>
      <c r="M67" s="155"/>
      <c r="N67" s="155">
        <v>49.826795866875592</v>
      </c>
      <c r="O67" s="154"/>
      <c r="P67" s="154">
        <v>539.32876783207894</v>
      </c>
      <c r="Q67" s="153"/>
      <c r="R67" s="153">
        <v>1017.1020653741357</v>
      </c>
      <c r="S67" s="154"/>
      <c r="T67" s="154">
        <v>349.65947441839279</v>
      </c>
      <c r="U67" s="153"/>
      <c r="V67" s="153">
        <v>260.66223074752997</v>
      </c>
      <c r="W67" s="154"/>
      <c r="X67" s="154">
        <v>181.23913696273436</v>
      </c>
      <c r="Y67" s="153"/>
      <c r="Z67" s="153">
        <v>140.21157253752662</v>
      </c>
      <c r="AA67" s="154"/>
      <c r="AB67" s="154">
        <v>63.26816482944146</v>
      </c>
      <c r="AC67" s="153"/>
      <c r="AD67" s="153">
        <v>293.12793708688361</v>
      </c>
      <c r="AE67" s="154"/>
      <c r="AF67" s="154">
        <v>407.62219543627481</v>
      </c>
      <c r="AG67" s="153"/>
      <c r="AH67" s="153">
        <v>596.15301598126985</v>
      </c>
      <c r="AI67" s="154"/>
      <c r="AJ67" s="154">
        <v>456.24806534396413</v>
      </c>
      <c r="AK67" s="153"/>
      <c r="AL67" s="153">
        <v>366.78756395659883</v>
      </c>
      <c r="AM67" s="154"/>
      <c r="AN67" s="154">
        <v>43.37875276879533</v>
      </c>
      <c r="AO67" s="153"/>
      <c r="AP67" s="153">
        <v>131.1314264065542</v>
      </c>
      <c r="AQ67" s="154"/>
      <c r="AR67" s="154">
        <v>140.53206127968451</v>
      </c>
      <c r="AS67" s="153" t="s">
        <v>211</v>
      </c>
      <c r="AT67" s="153">
        <v>1.1774876013410478</v>
      </c>
      <c r="AU67" s="154" t="s">
        <v>211</v>
      </c>
      <c r="AV67" s="154">
        <v>18.703506026372104</v>
      </c>
      <c r="AW67" s="153"/>
      <c r="AX67" s="153">
        <v>2414.5796095640503</v>
      </c>
      <c r="AY67" s="154"/>
      <c r="AZ67" s="154">
        <v>187.1356339644534</v>
      </c>
      <c r="BA67" s="153" t="s">
        <v>211</v>
      </c>
      <c r="BB67" s="153">
        <v>5.2187506576711629</v>
      </c>
      <c r="BC67" s="154"/>
      <c r="BD67" s="154">
        <v>215.31140849033989</v>
      </c>
      <c r="BE67" s="153" t="s">
        <v>211</v>
      </c>
      <c r="BF67" s="153">
        <v>5.6515331088292182</v>
      </c>
      <c r="BG67" s="154" t="s">
        <v>211</v>
      </c>
      <c r="BH67" s="154">
        <v>7.6157387862655588</v>
      </c>
      <c r="BI67" s="153"/>
      <c r="BJ67" s="153">
        <v>320.12289108387847</v>
      </c>
      <c r="BK67" s="154"/>
      <c r="BL67" s="154">
        <v>568.30551081668818</v>
      </c>
      <c r="BM67" s="153"/>
      <c r="BN67" s="153">
        <v>151.66542459224215</v>
      </c>
      <c r="BO67" s="154"/>
      <c r="BP67" s="154">
        <v>152.89371429886623</v>
      </c>
      <c r="BQ67" s="153" t="s">
        <v>211</v>
      </c>
      <c r="BR67" s="153">
        <v>17.943686460081878</v>
      </c>
      <c r="BS67" s="154" t="s">
        <v>211</v>
      </c>
      <c r="BT67" s="154">
        <v>8.4703499932694584</v>
      </c>
      <c r="BU67" s="153" t="s">
        <v>211</v>
      </c>
      <c r="BV67" s="153">
        <v>12.497310626832666</v>
      </c>
      <c r="BW67" s="154"/>
      <c r="BX67" s="154">
        <v>53.241712382579664</v>
      </c>
      <c r="BY67" s="153"/>
      <c r="BZ67" s="153">
        <v>109.02069236160702</v>
      </c>
      <c r="CA67" s="154"/>
      <c r="CB67" s="154">
        <v>93.582547253474644</v>
      </c>
      <c r="CC67" s="153"/>
      <c r="CD67" s="153">
        <v>73.813204100874614</v>
      </c>
      <c r="CE67" s="154"/>
      <c r="CF67" s="154">
        <v>94.538288664089507</v>
      </c>
      <c r="CG67" s="153"/>
      <c r="CH67" s="153">
        <v>28.270683843730147</v>
      </c>
      <c r="CI67" s="154"/>
      <c r="CJ67" s="154">
        <v>160.08785406060389</v>
      </c>
      <c r="CK67" s="153"/>
      <c r="CL67" s="153">
        <v>134.80871133864383</v>
      </c>
      <c r="CM67" s="154" t="s">
        <v>211</v>
      </c>
      <c r="CN67" s="154">
        <v>0</v>
      </c>
      <c r="CO67" s="153" t="s">
        <v>211</v>
      </c>
      <c r="CP67" s="153">
        <v>14.38396267902864</v>
      </c>
    </row>
    <row r="68" spans="1:94" x14ac:dyDescent="0.2">
      <c r="A68" s="107">
        <v>2021</v>
      </c>
      <c r="B68" s="106" t="s">
        <v>165</v>
      </c>
      <c r="C68" s="156"/>
      <c r="D68" s="156">
        <v>6224.165977375661</v>
      </c>
      <c r="E68" s="155"/>
      <c r="F68" s="155">
        <v>345.19181866958536</v>
      </c>
      <c r="G68" s="156"/>
      <c r="H68" s="156">
        <v>131.62038739764265</v>
      </c>
      <c r="I68" s="155"/>
      <c r="J68" s="155">
        <v>618.08247148823864</v>
      </c>
      <c r="K68" s="156"/>
      <c r="L68" s="156">
        <v>33.124141748518376</v>
      </c>
      <c r="M68" s="155"/>
      <c r="N68" s="155">
        <v>52.963046422079351</v>
      </c>
      <c r="O68" s="154"/>
      <c r="P68" s="154">
        <v>538.84898069584676</v>
      </c>
      <c r="Q68" s="153"/>
      <c r="R68" s="153">
        <v>1049.4724877495096</v>
      </c>
      <c r="S68" s="154"/>
      <c r="T68" s="154">
        <v>345.7231741837125</v>
      </c>
      <c r="U68" s="153"/>
      <c r="V68" s="153">
        <v>260.64374019370956</v>
      </c>
      <c r="W68" s="154"/>
      <c r="X68" s="154">
        <v>172.40368550693924</v>
      </c>
      <c r="Y68" s="153"/>
      <c r="Z68" s="153">
        <v>145.50319424108054</v>
      </c>
      <c r="AA68" s="154"/>
      <c r="AB68" s="154">
        <v>61.177740691765102</v>
      </c>
      <c r="AC68" s="153"/>
      <c r="AD68" s="153">
        <v>287.23665873563374</v>
      </c>
      <c r="AE68" s="154"/>
      <c r="AF68" s="154">
        <v>404.84963957809543</v>
      </c>
      <c r="AG68" s="153"/>
      <c r="AH68" s="153">
        <v>592.43388524896955</v>
      </c>
      <c r="AI68" s="154"/>
      <c r="AJ68" s="154">
        <v>469.29823033501395</v>
      </c>
      <c r="AK68" s="153"/>
      <c r="AL68" s="153">
        <v>372.48713509016204</v>
      </c>
      <c r="AM68" s="154"/>
      <c r="AN68" s="154">
        <v>50.784910099100713</v>
      </c>
      <c r="AO68" s="153"/>
      <c r="AP68" s="153">
        <v>138.42515778937647</v>
      </c>
      <c r="AQ68" s="154"/>
      <c r="AR68" s="154">
        <v>137.81084266981216</v>
      </c>
      <c r="AS68" s="153" t="s">
        <v>211</v>
      </c>
      <c r="AT68" s="153">
        <v>1.1682892369892888</v>
      </c>
      <c r="AU68" s="154" t="s">
        <v>211</v>
      </c>
      <c r="AV68" s="154">
        <v>14.916359603880361</v>
      </c>
      <c r="AW68" s="153"/>
      <c r="AX68" s="153">
        <v>2454.1208283197443</v>
      </c>
      <c r="AY68" s="154"/>
      <c r="AZ68" s="154">
        <v>203.00435596370195</v>
      </c>
      <c r="BA68" s="153" t="s">
        <v>211</v>
      </c>
      <c r="BB68" s="153">
        <v>5.0780898810665294</v>
      </c>
      <c r="BC68" s="154"/>
      <c r="BD68" s="154">
        <v>209.39432271190211</v>
      </c>
      <c r="BE68" s="153" t="s">
        <v>211</v>
      </c>
      <c r="BF68" s="153">
        <v>4.401805630805864</v>
      </c>
      <c r="BG68" s="154" t="s">
        <v>211</v>
      </c>
      <c r="BH68" s="154">
        <v>7.9298298996067507</v>
      </c>
      <c r="BI68" s="153"/>
      <c r="BJ68" s="153">
        <v>326.8296222474824</v>
      </c>
      <c r="BK68" s="154"/>
      <c r="BL68" s="154">
        <v>577.23377516643529</v>
      </c>
      <c r="BM68" s="153"/>
      <c r="BN68" s="153">
        <v>165.44893717537511</v>
      </c>
      <c r="BO68" s="154"/>
      <c r="BP68" s="154">
        <v>146.48683032679557</v>
      </c>
      <c r="BQ68" s="153" t="s">
        <v>211</v>
      </c>
      <c r="BR68" s="153">
        <v>15.592619555600455</v>
      </c>
      <c r="BS68" s="154" t="s">
        <v>211</v>
      </c>
      <c r="BT68" s="154">
        <v>7.7005474773500842</v>
      </c>
      <c r="BU68" s="153" t="s">
        <v>211</v>
      </c>
      <c r="BV68" s="153">
        <v>12.115117093719583</v>
      </c>
      <c r="BW68" s="154"/>
      <c r="BX68" s="154">
        <v>54.610303726863769</v>
      </c>
      <c r="BY68" s="153"/>
      <c r="BZ68" s="153">
        <v>111.66956852794269</v>
      </c>
      <c r="CA68" s="154"/>
      <c r="CB68" s="154">
        <v>96.138486094552917</v>
      </c>
      <c r="CC68" s="153"/>
      <c r="CD68" s="153">
        <v>69.197956034501431</v>
      </c>
      <c r="CE68" s="154"/>
      <c r="CF68" s="154">
        <v>95.368506156423223</v>
      </c>
      <c r="CG68" s="153"/>
      <c r="CH68" s="153">
        <v>25.69161475128346</v>
      </c>
      <c r="CI68" s="154"/>
      <c r="CJ68" s="154">
        <v>167.32165944524803</v>
      </c>
      <c r="CK68" s="153"/>
      <c r="CL68" s="153">
        <v>139.13857388615335</v>
      </c>
      <c r="CM68" s="154" t="s">
        <v>211</v>
      </c>
      <c r="CN68" s="154">
        <v>0</v>
      </c>
      <c r="CO68" s="153" t="s">
        <v>211</v>
      </c>
      <c r="CP68" s="153">
        <v>13.768306566933505</v>
      </c>
    </row>
    <row r="69" spans="1:94" x14ac:dyDescent="0.2">
      <c r="A69" s="107">
        <v>2021</v>
      </c>
      <c r="B69" s="106" t="s">
        <v>164</v>
      </c>
      <c r="C69" s="156" t="s">
        <v>192</v>
      </c>
      <c r="D69" s="156">
        <v>6270.3213493877802</v>
      </c>
      <c r="E69" s="155" t="s">
        <v>192</v>
      </c>
      <c r="F69" s="155">
        <v>369.38216681445198</v>
      </c>
      <c r="G69" s="156" t="s">
        <v>192</v>
      </c>
      <c r="H69" s="156">
        <v>129.68569483741399</v>
      </c>
      <c r="I69" s="155" t="s">
        <v>192</v>
      </c>
      <c r="J69" s="155">
        <v>620.66676712309095</v>
      </c>
      <c r="K69" s="156" t="s">
        <v>212</v>
      </c>
      <c r="L69" s="156">
        <v>31.548209264593201</v>
      </c>
      <c r="M69" s="155" t="s">
        <v>192</v>
      </c>
      <c r="N69" s="155">
        <v>46.376252367946201</v>
      </c>
      <c r="O69" s="154" t="s">
        <v>192</v>
      </c>
      <c r="P69" s="154">
        <v>547.24719476216001</v>
      </c>
      <c r="Q69" s="153" t="s">
        <v>192</v>
      </c>
      <c r="R69" s="153">
        <v>1060.7729961229199</v>
      </c>
      <c r="S69" s="154" t="s">
        <v>192</v>
      </c>
      <c r="T69" s="154">
        <v>347.58619093872102</v>
      </c>
      <c r="U69" s="153" t="s">
        <v>192</v>
      </c>
      <c r="V69" s="153">
        <v>248.92306675730001</v>
      </c>
      <c r="W69" s="154" t="s">
        <v>192</v>
      </c>
      <c r="X69" s="154">
        <v>171.942926597097</v>
      </c>
      <c r="Y69" s="153" t="s">
        <v>192</v>
      </c>
      <c r="Z69" s="153">
        <v>148.48537902573301</v>
      </c>
      <c r="AA69" s="154" t="s">
        <v>192</v>
      </c>
      <c r="AB69" s="154">
        <v>64.681773866968797</v>
      </c>
      <c r="AC69" s="153" t="s">
        <v>192</v>
      </c>
      <c r="AD69" s="153">
        <v>273.38575764477201</v>
      </c>
      <c r="AE69" s="154" t="s">
        <v>192</v>
      </c>
      <c r="AF69" s="154">
        <v>403.15245235351802</v>
      </c>
      <c r="AG69" s="153" t="s">
        <v>192</v>
      </c>
      <c r="AH69" s="153">
        <v>591.47985812563104</v>
      </c>
      <c r="AI69" s="154" t="s">
        <v>192</v>
      </c>
      <c r="AJ69" s="154">
        <v>468.51972414814799</v>
      </c>
      <c r="AK69" s="153" t="s">
        <v>192</v>
      </c>
      <c r="AL69" s="153">
        <v>377.55063141461602</v>
      </c>
      <c r="AM69" s="154" t="s">
        <v>192</v>
      </c>
      <c r="AN69" s="154">
        <v>54.264457166738602</v>
      </c>
      <c r="AO69" s="153" t="s">
        <v>192</v>
      </c>
      <c r="AP69" s="153">
        <v>157.81190631270101</v>
      </c>
      <c r="AQ69" s="154" t="s">
        <v>192</v>
      </c>
      <c r="AR69" s="154">
        <v>135.41139395992201</v>
      </c>
      <c r="AS69" s="153" t="s">
        <v>211</v>
      </c>
      <c r="AT69" s="153">
        <v>1.45309550083822</v>
      </c>
      <c r="AU69" s="154" t="s">
        <v>211</v>
      </c>
      <c r="AV69" s="154">
        <v>19.9934542825034</v>
      </c>
      <c r="AW69" s="153" t="s">
        <v>192</v>
      </c>
      <c r="AX69" s="153">
        <v>2442.56883906454</v>
      </c>
      <c r="AY69" s="154" t="s">
        <v>192</v>
      </c>
      <c r="AZ69" s="154">
        <v>212.21553034089001</v>
      </c>
      <c r="BA69" s="153" t="s">
        <v>211</v>
      </c>
      <c r="BB69" s="153">
        <v>5.1954764455303399</v>
      </c>
      <c r="BC69" s="154" t="s">
        <v>192</v>
      </c>
      <c r="BD69" s="154">
        <v>209.581992385006</v>
      </c>
      <c r="BE69" s="153" t="s">
        <v>211</v>
      </c>
      <c r="BF69" s="153">
        <v>4.7466342318301997</v>
      </c>
      <c r="BG69" s="154" t="s">
        <v>211</v>
      </c>
      <c r="BH69" s="154">
        <v>7.6123750076845704</v>
      </c>
      <c r="BI69" s="153" t="s">
        <v>192</v>
      </c>
      <c r="BJ69" s="153">
        <v>323.69959910635498</v>
      </c>
      <c r="BK69" s="154" t="s">
        <v>192</v>
      </c>
      <c r="BL69" s="154">
        <v>557.68554925331898</v>
      </c>
      <c r="BM69" s="153" t="s">
        <v>192</v>
      </c>
      <c r="BN69" s="153">
        <v>180.681701404872</v>
      </c>
      <c r="BO69" s="154" t="s">
        <v>192</v>
      </c>
      <c r="BP69" s="154">
        <v>132.51640534005901</v>
      </c>
      <c r="BQ69" s="153" t="s">
        <v>211</v>
      </c>
      <c r="BR69" s="153">
        <v>14.860551796842101</v>
      </c>
      <c r="BS69" s="154" t="s">
        <v>211</v>
      </c>
      <c r="BT69" s="154">
        <v>8.5447264381282295</v>
      </c>
      <c r="BU69" s="153" t="s">
        <v>211</v>
      </c>
      <c r="BV69" s="153">
        <v>12.211887294519601</v>
      </c>
      <c r="BW69" s="154" t="s">
        <v>192</v>
      </c>
      <c r="BX69" s="154">
        <v>48.474505676206903</v>
      </c>
      <c r="BY69" s="153" t="s">
        <v>192</v>
      </c>
      <c r="BZ69" s="153">
        <v>118.125664132707</v>
      </c>
      <c r="CA69" s="154" t="s">
        <v>192</v>
      </c>
      <c r="CB69" s="154">
        <v>94.684927856397707</v>
      </c>
      <c r="CC69" s="153" t="s">
        <v>192</v>
      </c>
      <c r="CD69" s="153">
        <v>67.529772697041807</v>
      </c>
      <c r="CE69" s="154" t="s">
        <v>192</v>
      </c>
      <c r="CF69" s="154">
        <v>97.813950172191994</v>
      </c>
      <c r="CG69" s="153" t="s">
        <v>192</v>
      </c>
      <c r="CH69" s="153">
        <v>26.813772917662401</v>
      </c>
      <c r="CI69" s="154" t="s">
        <v>192</v>
      </c>
      <c r="CJ69" s="154">
        <v>171.65156211102001</v>
      </c>
      <c r="CK69" s="153" t="s">
        <v>192</v>
      </c>
      <c r="CL69" s="153">
        <v>134.44699935933301</v>
      </c>
      <c r="CM69" s="154" t="s">
        <v>211</v>
      </c>
      <c r="CN69" s="154">
        <v>0</v>
      </c>
      <c r="CO69" s="153" t="s">
        <v>211</v>
      </c>
      <c r="CP69" s="153">
        <v>13.4752550969468</v>
      </c>
    </row>
    <row r="70" spans="1:94" x14ac:dyDescent="0.2">
      <c r="A70" s="107">
        <v>2022</v>
      </c>
      <c r="B70" s="106" t="s">
        <v>163</v>
      </c>
      <c r="C70" s="156" t="s">
        <v>192</v>
      </c>
      <c r="D70" s="156">
        <v>6329.7242138542597</v>
      </c>
      <c r="E70" s="155" t="s">
        <v>192</v>
      </c>
      <c r="F70" s="155">
        <v>360.434004209497</v>
      </c>
      <c r="G70" s="156" t="s">
        <v>192</v>
      </c>
      <c r="H70" s="156">
        <v>131.690022580907</v>
      </c>
      <c r="I70" s="155" t="s">
        <v>192</v>
      </c>
      <c r="J70" s="155">
        <v>619.14005513346297</v>
      </c>
      <c r="K70" s="156" t="s">
        <v>212</v>
      </c>
      <c r="L70" s="156">
        <v>28.076975246458399</v>
      </c>
      <c r="M70" s="155" t="s">
        <v>192</v>
      </c>
      <c r="N70" s="155">
        <v>49.224507723388903</v>
      </c>
      <c r="O70" s="154" t="s">
        <v>192</v>
      </c>
      <c r="P70" s="154">
        <v>546.73181364151401</v>
      </c>
      <c r="Q70" s="153" t="s">
        <v>192</v>
      </c>
      <c r="R70" s="153">
        <v>1081.5374207764701</v>
      </c>
      <c r="S70" s="154" t="s">
        <v>192</v>
      </c>
      <c r="T70" s="154">
        <v>361.79134540303397</v>
      </c>
      <c r="U70" s="153" t="s">
        <v>192</v>
      </c>
      <c r="V70" s="153">
        <v>262.35416589993702</v>
      </c>
      <c r="W70" s="154" t="s">
        <v>192</v>
      </c>
      <c r="X70" s="154">
        <v>175.24854541385599</v>
      </c>
      <c r="Y70" s="153" t="s">
        <v>192</v>
      </c>
      <c r="Z70" s="153">
        <v>145.42082903573299</v>
      </c>
      <c r="AA70" s="154" t="s">
        <v>192</v>
      </c>
      <c r="AB70" s="154">
        <v>67.882610575533704</v>
      </c>
      <c r="AC70" s="153" t="s">
        <v>192</v>
      </c>
      <c r="AD70" s="153">
        <v>264.81128236319199</v>
      </c>
      <c r="AE70" s="154" t="s">
        <v>192</v>
      </c>
      <c r="AF70" s="154">
        <v>416.36567105467901</v>
      </c>
      <c r="AG70" s="153" t="s">
        <v>192</v>
      </c>
      <c r="AH70" s="153">
        <v>588.93111199511497</v>
      </c>
      <c r="AI70" s="154" t="s">
        <v>192</v>
      </c>
      <c r="AJ70" s="154">
        <v>472.71327405516899</v>
      </c>
      <c r="AK70" s="153" t="s">
        <v>192</v>
      </c>
      <c r="AL70" s="153">
        <v>388.45045059645298</v>
      </c>
      <c r="AM70" s="154" t="s">
        <v>192</v>
      </c>
      <c r="AN70" s="154">
        <v>50.430404592128703</v>
      </c>
      <c r="AO70" s="153" t="s">
        <v>192</v>
      </c>
      <c r="AP70" s="153">
        <v>170.413948745623</v>
      </c>
      <c r="AQ70" s="154" t="s">
        <v>192</v>
      </c>
      <c r="AR70" s="154">
        <v>128.72922139985999</v>
      </c>
      <c r="AS70" s="153" t="s">
        <v>211</v>
      </c>
      <c r="AT70" s="153">
        <v>1.1024142128052099</v>
      </c>
      <c r="AU70" s="154" t="s">
        <v>211</v>
      </c>
      <c r="AV70" s="154">
        <v>18.2441391994372</v>
      </c>
      <c r="AW70" s="153" t="s">
        <v>192</v>
      </c>
      <c r="AX70" s="153">
        <v>2438.92045334571</v>
      </c>
      <c r="AY70" s="154" t="s">
        <v>192</v>
      </c>
      <c r="AZ70" s="154">
        <v>222.36477782498699</v>
      </c>
      <c r="BA70" s="153" t="s">
        <v>211</v>
      </c>
      <c r="BB70" s="153">
        <v>5.6659199419701203</v>
      </c>
      <c r="BC70" s="154" t="s">
        <v>192</v>
      </c>
      <c r="BD70" s="154">
        <v>210.82833638285101</v>
      </c>
      <c r="BE70" s="153" t="s">
        <v>211</v>
      </c>
      <c r="BF70" s="153">
        <v>1.81074877411682</v>
      </c>
      <c r="BG70" s="154" t="s">
        <v>211</v>
      </c>
      <c r="BH70" s="154">
        <v>7.5011288987391298</v>
      </c>
      <c r="BI70" s="153" t="s">
        <v>192</v>
      </c>
      <c r="BJ70" s="153">
        <v>310.456186480204</v>
      </c>
      <c r="BK70" s="154" t="s">
        <v>192</v>
      </c>
      <c r="BL70" s="154">
        <v>550.28038042231697</v>
      </c>
      <c r="BM70" s="153" t="s">
        <v>192</v>
      </c>
      <c r="BN70" s="153">
        <v>185.425190022115</v>
      </c>
      <c r="BO70" s="154" t="s">
        <v>192</v>
      </c>
      <c r="BP70" s="154">
        <v>143.27280430891801</v>
      </c>
      <c r="BQ70" s="153" t="s">
        <v>211</v>
      </c>
      <c r="BR70" s="153">
        <v>14.3662378119063</v>
      </c>
      <c r="BS70" s="154" t="s">
        <v>211</v>
      </c>
      <c r="BT70" s="154">
        <v>7.1248595216542903</v>
      </c>
      <c r="BU70" s="153" t="s">
        <v>211</v>
      </c>
      <c r="BV70" s="153">
        <v>12.4840728202555</v>
      </c>
      <c r="BW70" s="154" t="s">
        <v>192</v>
      </c>
      <c r="BX70" s="154">
        <v>48.4359752517244</v>
      </c>
      <c r="BY70" s="153" t="s">
        <v>192</v>
      </c>
      <c r="BZ70" s="153">
        <v>122.156725890505</v>
      </c>
      <c r="CA70" s="154" t="s">
        <v>192</v>
      </c>
      <c r="CB70" s="154">
        <v>89.963592113198303</v>
      </c>
      <c r="CC70" s="153" t="s">
        <v>192</v>
      </c>
      <c r="CD70" s="153">
        <v>62.566919660051703</v>
      </c>
      <c r="CE70" s="154" t="s">
        <v>192</v>
      </c>
      <c r="CF70" s="154">
        <v>99.800917752746997</v>
      </c>
      <c r="CG70" s="153" t="s">
        <v>192</v>
      </c>
      <c r="CH70" s="153">
        <v>25.344134973425501</v>
      </c>
      <c r="CI70" s="154" t="s">
        <v>192</v>
      </c>
      <c r="CJ70" s="154">
        <v>166.634055963599</v>
      </c>
      <c r="CK70" s="153" t="s">
        <v>192</v>
      </c>
      <c r="CL70" s="153">
        <v>136.177739483408</v>
      </c>
      <c r="CM70" s="154" t="s">
        <v>211</v>
      </c>
      <c r="CN70" s="154">
        <v>0</v>
      </c>
      <c r="CO70" s="153" t="s">
        <v>211</v>
      </c>
      <c r="CP70" s="153">
        <v>16.259749047019099</v>
      </c>
    </row>
    <row r="71" spans="1:94" x14ac:dyDescent="0.2">
      <c r="A71" s="107">
        <v>2022</v>
      </c>
      <c r="B71" s="106" t="s">
        <v>162</v>
      </c>
      <c r="C71" s="156" t="s">
        <v>192</v>
      </c>
      <c r="D71" s="156">
        <v>6398.6769191889298</v>
      </c>
      <c r="E71" s="155" t="s">
        <v>192</v>
      </c>
      <c r="F71" s="155">
        <v>344.99968162074299</v>
      </c>
      <c r="G71" s="156" t="s">
        <v>192</v>
      </c>
      <c r="H71" s="156">
        <v>142.74620896880501</v>
      </c>
      <c r="I71" s="155" t="s">
        <v>192</v>
      </c>
      <c r="J71" s="155">
        <v>628.022568846122</v>
      </c>
      <c r="K71" s="156" t="s">
        <v>212</v>
      </c>
      <c r="L71" s="156">
        <v>27.0527005993148</v>
      </c>
      <c r="M71" s="155" t="s">
        <v>192</v>
      </c>
      <c r="N71" s="155">
        <v>50.354490984443402</v>
      </c>
      <c r="O71" s="154" t="s">
        <v>192</v>
      </c>
      <c r="P71" s="154">
        <v>554.30729956063601</v>
      </c>
      <c r="Q71" s="153" t="s">
        <v>192</v>
      </c>
      <c r="R71" s="153">
        <v>1066.7470571890401</v>
      </c>
      <c r="S71" s="154" t="s">
        <v>192</v>
      </c>
      <c r="T71" s="154">
        <v>366.04488425925803</v>
      </c>
      <c r="U71" s="153" t="s">
        <v>192</v>
      </c>
      <c r="V71" s="153">
        <v>280.312276918865</v>
      </c>
      <c r="W71" s="154" t="s">
        <v>192</v>
      </c>
      <c r="X71" s="154">
        <v>177.58206143122499</v>
      </c>
      <c r="Y71" s="153" t="s">
        <v>192</v>
      </c>
      <c r="Z71" s="153">
        <v>148.45657094998401</v>
      </c>
      <c r="AA71" s="154" t="s">
        <v>192</v>
      </c>
      <c r="AB71" s="154">
        <v>78.101371678388503</v>
      </c>
      <c r="AC71" s="153" t="s">
        <v>192</v>
      </c>
      <c r="AD71" s="153">
        <v>277.21098558161901</v>
      </c>
      <c r="AE71" s="154" t="s">
        <v>192</v>
      </c>
      <c r="AF71" s="154">
        <v>428.23702772939799</v>
      </c>
      <c r="AG71" s="153" t="s">
        <v>192</v>
      </c>
      <c r="AH71" s="153">
        <v>584.05506766701103</v>
      </c>
      <c r="AI71" s="154" t="s">
        <v>192</v>
      </c>
      <c r="AJ71" s="154">
        <v>478.132168131377</v>
      </c>
      <c r="AK71" s="153" t="s">
        <v>192</v>
      </c>
      <c r="AL71" s="153">
        <v>401.992665108469</v>
      </c>
      <c r="AM71" s="154" t="s">
        <v>192</v>
      </c>
      <c r="AN71" s="154">
        <v>47.1336327416548</v>
      </c>
      <c r="AO71" s="153" t="s">
        <v>192</v>
      </c>
      <c r="AP71" s="153">
        <v>164.634188719317</v>
      </c>
      <c r="AQ71" s="154" t="s">
        <v>192</v>
      </c>
      <c r="AR71" s="154">
        <v>129.693236038419</v>
      </c>
      <c r="AS71" s="153" t="s">
        <v>211</v>
      </c>
      <c r="AT71" s="153">
        <v>1.26418485163929</v>
      </c>
      <c r="AU71" s="154" t="s">
        <v>211</v>
      </c>
      <c r="AV71" s="154">
        <v>21.5965896132011</v>
      </c>
      <c r="AW71" s="153" t="s">
        <v>192</v>
      </c>
      <c r="AX71" s="153">
        <v>2398.8841450801101</v>
      </c>
      <c r="AY71" s="154" t="s">
        <v>192</v>
      </c>
      <c r="AZ71" s="154">
        <v>225.43495763761999</v>
      </c>
      <c r="BA71" s="153" t="s">
        <v>211</v>
      </c>
      <c r="BB71" s="153">
        <v>7.7000554164665296</v>
      </c>
      <c r="BC71" s="154" t="s">
        <v>192</v>
      </c>
      <c r="BD71" s="154">
        <v>210.92188831014599</v>
      </c>
      <c r="BE71" s="153" t="s">
        <v>211</v>
      </c>
      <c r="BF71" s="153">
        <v>1.31846593568244</v>
      </c>
      <c r="BG71" s="154" t="s">
        <v>211</v>
      </c>
      <c r="BH71" s="154">
        <v>9.4641559504958295</v>
      </c>
      <c r="BI71" s="153" t="s">
        <v>192</v>
      </c>
      <c r="BJ71" s="153">
        <v>305.56835346347998</v>
      </c>
      <c r="BK71" s="154" t="s">
        <v>192</v>
      </c>
      <c r="BL71" s="154">
        <v>546.72715446077996</v>
      </c>
      <c r="BM71" s="153" t="s">
        <v>192</v>
      </c>
      <c r="BN71" s="153">
        <v>183.69623159093999</v>
      </c>
      <c r="BO71" s="154" t="s">
        <v>192</v>
      </c>
      <c r="BP71" s="154">
        <v>140.683483717705</v>
      </c>
      <c r="BQ71" s="153" t="s">
        <v>211</v>
      </c>
      <c r="BR71" s="153">
        <v>12.527282894939001</v>
      </c>
      <c r="BS71" s="154" t="s">
        <v>211</v>
      </c>
      <c r="BT71" s="154">
        <v>5.81369490130787</v>
      </c>
      <c r="BU71" s="153" t="s">
        <v>211</v>
      </c>
      <c r="BV71" s="153">
        <v>12.0131323446459</v>
      </c>
      <c r="BW71" s="154" t="s">
        <v>192</v>
      </c>
      <c r="BX71" s="154">
        <v>40.949311126022401</v>
      </c>
      <c r="BY71" s="153" t="s">
        <v>192</v>
      </c>
      <c r="BZ71" s="153">
        <v>119.02838355073401</v>
      </c>
      <c r="CA71" s="154" t="s">
        <v>192</v>
      </c>
      <c r="CB71" s="154">
        <v>86.944950700148596</v>
      </c>
      <c r="CC71" s="153" t="s">
        <v>192</v>
      </c>
      <c r="CD71" s="153">
        <v>55.964306078488001</v>
      </c>
      <c r="CE71" s="154" t="s">
        <v>192</v>
      </c>
      <c r="CF71" s="154">
        <v>91.558448893540898</v>
      </c>
      <c r="CG71" s="153" t="s">
        <v>192</v>
      </c>
      <c r="CH71" s="153">
        <v>27.717070752147201</v>
      </c>
      <c r="CI71" s="154" t="s">
        <v>192</v>
      </c>
      <c r="CJ71" s="154">
        <v>164.07524041103599</v>
      </c>
      <c r="CK71" s="153" t="s">
        <v>192</v>
      </c>
      <c r="CL71" s="153">
        <v>135.57349318835901</v>
      </c>
      <c r="CM71" s="154" t="s">
        <v>211</v>
      </c>
      <c r="CN71" s="154">
        <v>0</v>
      </c>
      <c r="CO71" s="153" t="s">
        <v>211</v>
      </c>
      <c r="CP71" s="153">
        <v>15.204083755420699</v>
      </c>
    </row>
    <row r="72" spans="1:94" x14ac:dyDescent="0.2">
      <c r="A72" s="107">
        <v>2022</v>
      </c>
      <c r="B72" s="106" t="s">
        <v>173</v>
      </c>
      <c r="C72" s="156" t="s">
        <v>192</v>
      </c>
      <c r="D72" s="156">
        <v>6434.8789904825899</v>
      </c>
      <c r="E72" s="155" t="s">
        <v>192</v>
      </c>
      <c r="F72" s="155">
        <v>328.82496984380703</v>
      </c>
      <c r="G72" s="156" t="s">
        <v>192</v>
      </c>
      <c r="H72" s="156">
        <v>144.23455255145299</v>
      </c>
      <c r="I72" s="155" t="s">
        <v>192</v>
      </c>
      <c r="J72" s="155">
        <v>634.75241581787805</v>
      </c>
      <c r="K72" s="156" t="s">
        <v>192</v>
      </c>
      <c r="L72" s="156">
        <v>29.981212373824999</v>
      </c>
      <c r="M72" s="155" t="s">
        <v>192</v>
      </c>
      <c r="N72" s="155">
        <v>57.371550646310901</v>
      </c>
      <c r="O72" s="154" t="s">
        <v>192</v>
      </c>
      <c r="P72" s="154">
        <v>536.627902772119</v>
      </c>
      <c r="Q72" s="153" t="s">
        <v>192</v>
      </c>
      <c r="R72" s="153">
        <v>1071.69877251653</v>
      </c>
      <c r="S72" s="154" t="s">
        <v>192</v>
      </c>
      <c r="T72" s="154">
        <v>383.73020939547803</v>
      </c>
      <c r="U72" s="153" t="s">
        <v>192</v>
      </c>
      <c r="V72" s="153">
        <v>286.33557064643901</v>
      </c>
      <c r="W72" s="154" t="s">
        <v>192</v>
      </c>
      <c r="X72" s="154">
        <v>178.552290913918</v>
      </c>
      <c r="Y72" s="153" t="s">
        <v>192</v>
      </c>
      <c r="Z72" s="153">
        <v>157.966086765169</v>
      </c>
      <c r="AA72" s="154" t="s">
        <v>192</v>
      </c>
      <c r="AB72" s="154">
        <v>76.268904338309895</v>
      </c>
      <c r="AC72" s="153" t="s">
        <v>192</v>
      </c>
      <c r="AD72" s="153">
        <v>294.97817330800098</v>
      </c>
      <c r="AE72" s="154" t="s">
        <v>192</v>
      </c>
      <c r="AF72" s="154">
        <v>424.33781082612302</v>
      </c>
      <c r="AG72" s="153" t="s">
        <v>192</v>
      </c>
      <c r="AH72" s="153">
        <v>593.84881115109204</v>
      </c>
      <c r="AI72" s="154" t="s">
        <v>192</v>
      </c>
      <c r="AJ72" s="154">
        <v>472.56060468120103</v>
      </c>
      <c r="AK72" s="153" t="s">
        <v>192</v>
      </c>
      <c r="AL72" s="153">
        <v>394.99884505176499</v>
      </c>
      <c r="AM72" s="154" t="s">
        <v>192</v>
      </c>
      <c r="AN72" s="154">
        <v>47.119139880892902</v>
      </c>
      <c r="AO72" s="153" t="s">
        <v>192</v>
      </c>
      <c r="AP72" s="153">
        <v>162.75143320529699</v>
      </c>
      <c r="AQ72" s="154" t="s">
        <v>192</v>
      </c>
      <c r="AR72" s="154">
        <v>139.324783717679</v>
      </c>
      <c r="AS72" s="153" t="s">
        <v>211</v>
      </c>
      <c r="AT72" s="153">
        <v>0.91743054730371698</v>
      </c>
      <c r="AU72" s="154" t="s">
        <v>211</v>
      </c>
      <c r="AV72" s="154">
        <v>17.697519531998299</v>
      </c>
      <c r="AW72" s="153" t="s">
        <v>192</v>
      </c>
      <c r="AX72" s="153">
        <v>2400.5986417897102</v>
      </c>
      <c r="AY72" s="154" t="s">
        <v>192</v>
      </c>
      <c r="AZ72" s="154">
        <v>217.15248979519299</v>
      </c>
      <c r="BA72" s="153" t="s">
        <v>211</v>
      </c>
      <c r="BB72" s="153">
        <v>7.4701226937504996</v>
      </c>
      <c r="BC72" s="154" t="s">
        <v>192</v>
      </c>
      <c r="BD72" s="154">
        <v>216.99318856048399</v>
      </c>
      <c r="BE72" s="153" t="s">
        <v>211</v>
      </c>
      <c r="BF72" s="153">
        <v>1.1137814035924201</v>
      </c>
      <c r="BG72" s="154" t="s">
        <v>211</v>
      </c>
      <c r="BH72" s="154">
        <v>10.4271922544833</v>
      </c>
      <c r="BI72" s="153" t="s">
        <v>192</v>
      </c>
      <c r="BJ72" s="153">
        <v>307.28674469030301</v>
      </c>
      <c r="BK72" s="154" t="s">
        <v>192</v>
      </c>
      <c r="BL72" s="154">
        <v>546.45938357804698</v>
      </c>
      <c r="BM72" s="153" t="s">
        <v>192</v>
      </c>
      <c r="BN72" s="153">
        <v>177.41143593332501</v>
      </c>
      <c r="BO72" s="154" t="s">
        <v>192</v>
      </c>
      <c r="BP72" s="154">
        <v>152.68519646054301</v>
      </c>
      <c r="BQ72" s="153" t="s">
        <v>211</v>
      </c>
      <c r="BR72" s="153">
        <v>12.3813876864213</v>
      </c>
      <c r="BS72" s="154" t="s">
        <v>211</v>
      </c>
      <c r="BT72" s="154">
        <v>6.9387763378785801</v>
      </c>
      <c r="BU72" s="153" t="s">
        <v>211</v>
      </c>
      <c r="BV72" s="153">
        <v>11.954369684992001</v>
      </c>
      <c r="BW72" s="154" t="s">
        <v>192</v>
      </c>
      <c r="BX72" s="154">
        <v>37.267798872984599</v>
      </c>
      <c r="BY72" s="153" t="s">
        <v>192</v>
      </c>
      <c r="BZ72" s="153">
        <v>120.383757914426</v>
      </c>
      <c r="CA72" s="154" t="s">
        <v>192</v>
      </c>
      <c r="CB72" s="154">
        <v>94.886525031122304</v>
      </c>
      <c r="CC72" s="153" t="s">
        <v>192</v>
      </c>
      <c r="CD72" s="153">
        <v>49.175483286554801</v>
      </c>
      <c r="CE72" s="154" t="s">
        <v>192</v>
      </c>
      <c r="CF72" s="154">
        <v>90.480506648668893</v>
      </c>
      <c r="CG72" s="153" t="s">
        <v>192</v>
      </c>
      <c r="CH72" s="153">
        <v>26.846586001575101</v>
      </c>
      <c r="CI72" s="154" t="s">
        <v>192</v>
      </c>
      <c r="CJ72" s="154">
        <v>154.68778921818301</v>
      </c>
      <c r="CK72" s="153" t="s">
        <v>192</v>
      </c>
      <c r="CL72" s="153">
        <v>145.81366393165499</v>
      </c>
      <c r="CM72" s="154" t="s">
        <v>211</v>
      </c>
      <c r="CN72" s="154">
        <v>0</v>
      </c>
      <c r="CO72" s="153" t="s">
        <v>211</v>
      </c>
      <c r="CP72" s="153">
        <v>12.782461805521701</v>
      </c>
    </row>
    <row r="73" spans="1:94" x14ac:dyDescent="0.2">
      <c r="A73" s="107">
        <v>2022</v>
      </c>
      <c r="B73" s="106" t="s">
        <v>172</v>
      </c>
      <c r="C73" s="156" t="s">
        <v>192</v>
      </c>
      <c r="D73" s="156">
        <v>6433.2861392867799</v>
      </c>
      <c r="E73" s="155" t="s">
        <v>192</v>
      </c>
      <c r="F73" s="155">
        <v>322.35630310812599</v>
      </c>
      <c r="G73" s="156" t="s">
        <v>192</v>
      </c>
      <c r="H73" s="156">
        <v>142.661967550844</v>
      </c>
      <c r="I73" s="155" t="s">
        <v>192</v>
      </c>
      <c r="J73" s="155">
        <v>626.37428700198495</v>
      </c>
      <c r="K73" s="156" t="s">
        <v>192</v>
      </c>
      <c r="L73" s="156">
        <v>27.313196071204001</v>
      </c>
      <c r="M73" s="155" t="s">
        <v>192</v>
      </c>
      <c r="N73" s="155">
        <v>50.134841394176199</v>
      </c>
      <c r="O73" s="154" t="s">
        <v>192</v>
      </c>
      <c r="P73" s="154">
        <v>525.66757306370096</v>
      </c>
      <c r="Q73" s="153" t="s">
        <v>192</v>
      </c>
      <c r="R73" s="153">
        <v>1071.3466508035699</v>
      </c>
      <c r="S73" s="154" t="s">
        <v>192</v>
      </c>
      <c r="T73" s="154">
        <v>372.32453713862998</v>
      </c>
      <c r="U73" s="153" t="s">
        <v>192</v>
      </c>
      <c r="V73" s="153">
        <v>296.54803983016501</v>
      </c>
      <c r="W73" s="154" t="s">
        <v>192</v>
      </c>
      <c r="X73" s="154">
        <v>186.47657958127201</v>
      </c>
      <c r="Y73" s="153" t="s">
        <v>192</v>
      </c>
      <c r="Z73" s="153">
        <v>162.97799287789701</v>
      </c>
      <c r="AA73" s="154" t="s">
        <v>192</v>
      </c>
      <c r="AB73" s="154">
        <v>77.880210993585493</v>
      </c>
      <c r="AC73" s="153" t="s">
        <v>192</v>
      </c>
      <c r="AD73" s="153">
        <v>310.80828160218101</v>
      </c>
      <c r="AE73" s="154" t="s">
        <v>192</v>
      </c>
      <c r="AF73" s="154">
        <v>423.620605849654</v>
      </c>
      <c r="AG73" s="153" t="s">
        <v>192</v>
      </c>
      <c r="AH73" s="153">
        <v>594.10392396215002</v>
      </c>
      <c r="AI73" s="154" t="s">
        <v>192</v>
      </c>
      <c r="AJ73" s="154">
        <v>476.87173501020601</v>
      </c>
      <c r="AK73" s="153" t="s">
        <v>192</v>
      </c>
      <c r="AL73" s="153">
        <v>392.40414076691701</v>
      </c>
      <c r="AM73" s="154" t="s">
        <v>192</v>
      </c>
      <c r="AN73" s="154">
        <v>48.020633258611703</v>
      </c>
      <c r="AO73" s="153" t="s">
        <v>192</v>
      </c>
      <c r="AP73" s="153">
        <v>168.5415068854</v>
      </c>
      <c r="AQ73" s="154" t="s">
        <v>192</v>
      </c>
      <c r="AR73" s="154">
        <v>140.67513966453001</v>
      </c>
      <c r="AS73" s="153" t="s">
        <v>211</v>
      </c>
      <c r="AT73" s="153">
        <v>0.26193889958704097</v>
      </c>
      <c r="AU73" s="154" t="s">
        <v>211</v>
      </c>
      <c r="AV73" s="154">
        <v>15.9160539723773</v>
      </c>
      <c r="AW73" s="153" t="s">
        <v>192</v>
      </c>
      <c r="AX73" s="153">
        <v>2421.7897313117701</v>
      </c>
      <c r="AY73" s="154" t="s">
        <v>192</v>
      </c>
      <c r="AZ73" s="154">
        <v>205.290950450552</v>
      </c>
      <c r="BA73" s="153" t="s">
        <v>211</v>
      </c>
      <c r="BB73" s="153">
        <v>7.1946421459505396</v>
      </c>
      <c r="BC73" s="154" t="s">
        <v>192</v>
      </c>
      <c r="BD73" s="154">
        <v>222.51448509985801</v>
      </c>
      <c r="BE73" s="153" t="s">
        <v>211</v>
      </c>
      <c r="BF73" s="153">
        <v>1.6722454202384101</v>
      </c>
      <c r="BG73" s="154" t="s">
        <v>211</v>
      </c>
      <c r="BH73" s="154">
        <v>10.783566111081401</v>
      </c>
      <c r="BI73" s="153" t="s">
        <v>192</v>
      </c>
      <c r="BJ73" s="153">
        <v>322.40924317175597</v>
      </c>
      <c r="BK73" s="154" t="s">
        <v>192</v>
      </c>
      <c r="BL73" s="154">
        <v>553.47166884120998</v>
      </c>
      <c r="BM73" s="153" t="s">
        <v>192</v>
      </c>
      <c r="BN73" s="153">
        <v>181.64414621918701</v>
      </c>
      <c r="BO73" s="154" t="s">
        <v>192</v>
      </c>
      <c r="BP73" s="154">
        <v>148.30636901194501</v>
      </c>
      <c r="BQ73" s="153" t="s">
        <v>211</v>
      </c>
      <c r="BR73" s="153">
        <v>11.2602429310855</v>
      </c>
      <c r="BS73" s="154" t="s">
        <v>211</v>
      </c>
      <c r="BT73" s="154">
        <v>6.7511449710397402</v>
      </c>
      <c r="BU73" s="153" t="s">
        <v>211</v>
      </c>
      <c r="BV73" s="153">
        <v>10.40637508607</v>
      </c>
      <c r="BW73" s="154" t="s">
        <v>192</v>
      </c>
      <c r="BX73" s="154">
        <v>32.488853223136203</v>
      </c>
      <c r="BY73" s="153" t="s">
        <v>192</v>
      </c>
      <c r="BZ73" s="153">
        <v>127.957344282118</v>
      </c>
      <c r="CA73" s="154" t="s">
        <v>192</v>
      </c>
      <c r="CB73" s="154">
        <v>89.038551178390506</v>
      </c>
      <c r="CC73" s="153" t="s">
        <v>192</v>
      </c>
      <c r="CD73" s="153">
        <v>56.170180600932397</v>
      </c>
      <c r="CE73" s="154" t="s">
        <v>192</v>
      </c>
      <c r="CF73" s="154">
        <v>83.580131146065398</v>
      </c>
      <c r="CG73" s="153" t="s">
        <v>192</v>
      </c>
      <c r="CH73" s="153">
        <v>25.4689763706739</v>
      </c>
      <c r="CI73" s="154" t="s">
        <v>192</v>
      </c>
      <c r="CJ73" s="154">
        <v>161.166129837884</v>
      </c>
      <c r="CK73" s="153" t="s">
        <v>192</v>
      </c>
      <c r="CL73" s="153">
        <v>148.800383531737</v>
      </c>
      <c r="CM73" s="154" t="s">
        <v>211</v>
      </c>
      <c r="CN73" s="154">
        <v>0</v>
      </c>
      <c r="CO73" s="153" t="s">
        <v>211</v>
      </c>
      <c r="CP73" s="153">
        <v>15.414101680855</v>
      </c>
    </row>
    <row r="74" spans="1:94" x14ac:dyDescent="0.2">
      <c r="A74" s="107">
        <v>2022</v>
      </c>
      <c r="B74" s="106" t="s">
        <v>171</v>
      </c>
      <c r="C74" s="156" t="s">
        <v>192</v>
      </c>
      <c r="D74" s="156">
        <v>6442.4989297231004</v>
      </c>
      <c r="E74" s="155" t="s">
        <v>192</v>
      </c>
      <c r="F74" s="155">
        <v>315.26357394183401</v>
      </c>
      <c r="G74" s="156" t="s">
        <v>192</v>
      </c>
      <c r="H74" s="156">
        <v>138.001399000514</v>
      </c>
      <c r="I74" s="155" t="s">
        <v>192</v>
      </c>
      <c r="J74" s="155">
        <v>631.21429333358799</v>
      </c>
      <c r="K74" s="156" t="s">
        <v>192</v>
      </c>
      <c r="L74" s="156">
        <v>27.9701278784651</v>
      </c>
      <c r="M74" s="155" t="s">
        <v>192</v>
      </c>
      <c r="N74" s="155">
        <v>46.078193009715498</v>
      </c>
      <c r="O74" s="154" t="s">
        <v>192</v>
      </c>
      <c r="P74" s="154">
        <v>547.87157132195205</v>
      </c>
      <c r="Q74" s="153" t="s">
        <v>192</v>
      </c>
      <c r="R74" s="153">
        <v>1071.4215916969199</v>
      </c>
      <c r="S74" s="154" t="s">
        <v>192</v>
      </c>
      <c r="T74" s="154">
        <v>390.42873818774399</v>
      </c>
      <c r="U74" s="153" t="s">
        <v>192</v>
      </c>
      <c r="V74" s="153">
        <v>281.03728486845199</v>
      </c>
      <c r="W74" s="154" t="s">
        <v>192</v>
      </c>
      <c r="X74" s="154">
        <v>191.84591652141901</v>
      </c>
      <c r="Y74" s="153" t="s">
        <v>192</v>
      </c>
      <c r="Z74" s="153">
        <v>166.233889085567</v>
      </c>
      <c r="AA74" s="154" t="s">
        <v>192</v>
      </c>
      <c r="AB74" s="154">
        <v>86.312449586452004</v>
      </c>
      <c r="AC74" s="153" t="s">
        <v>192</v>
      </c>
      <c r="AD74" s="153">
        <v>297.01004810093701</v>
      </c>
      <c r="AE74" s="154" t="s">
        <v>192</v>
      </c>
      <c r="AF74" s="154">
        <v>419.41827228211002</v>
      </c>
      <c r="AG74" s="153" t="s">
        <v>192</v>
      </c>
      <c r="AH74" s="153">
        <v>601.86532488984096</v>
      </c>
      <c r="AI74" s="154" t="s">
        <v>192</v>
      </c>
      <c r="AJ74" s="154">
        <v>486.81975502972199</v>
      </c>
      <c r="AK74" s="153" t="s">
        <v>192</v>
      </c>
      <c r="AL74" s="153">
        <v>386.638144548745</v>
      </c>
      <c r="AM74" s="154" t="s">
        <v>192</v>
      </c>
      <c r="AN74" s="154">
        <v>45.621276611225802</v>
      </c>
      <c r="AO74" s="153" t="s">
        <v>192</v>
      </c>
      <c r="AP74" s="153">
        <v>158.121964807654</v>
      </c>
      <c r="AQ74" s="154" t="s">
        <v>192</v>
      </c>
      <c r="AR74" s="154">
        <v>140.858636770685</v>
      </c>
      <c r="AS74" s="153" t="s">
        <v>211</v>
      </c>
      <c r="AT74" s="153">
        <v>0.79459446905958897</v>
      </c>
      <c r="AU74" s="154" t="s">
        <v>211</v>
      </c>
      <c r="AV74" s="154">
        <v>11.671883780495699</v>
      </c>
      <c r="AW74" s="153" t="s">
        <v>192</v>
      </c>
      <c r="AX74" s="153">
        <v>2395.9331461013699</v>
      </c>
      <c r="AY74" s="154" t="s">
        <v>192</v>
      </c>
      <c r="AZ74" s="154">
        <v>186.430426859888</v>
      </c>
      <c r="BA74" s="153" t="s">
        <v>211</v>
      </c>
      <c r="BB74" s="153">
        <v>5.7406282718201602</v>
      </c>
      <c r="BC74" s="154" t="s">
        <v>192</v>
      </c>
      <c r="BD74" s="154">
        <v>229.320154537261</v>
      </c>
      <c r="BE74" s="153" t="s">
        <v>211</v>
      </c>
      <c r="BF74" s="153">
        <v>1.4675358963631999</v>
      </c>
      <c r="BG74" s="154" t="s">
        <v>211</v>
      </c>
      <c r="BH74" s="154">
        <v>9.7031634104875408</v>
      </c>
      <c r="BI74" s="153" t="s">
        <v>192</v>
      </c>
      <c r="BJ74" s="153">
        <v>306.99760662213799</v>
      </c>
      <c r="BK74" s="154" t="s">
        <v>192</v>
      </c>
      <c r="BL74" s="154">
        <v>541.33409126172705</v>
      </c>
      <c r="BM74" s="153" t="s">
        <v>192</v>
      </c>
      <c r="BN74" s="153">
        <v>180.622526446573</v>
      </c>
      <c r="BO74" s="154" t="s">
        <v>192</v>
      </c>
      <c r="BP74" s="154">
        <v>142.70898044672401</v>
      </c>
      <c r="BQ74" s="153" t="s">
        <v>211</v>
      </c>
      <c r="BR74" s="153">
        <v>12.7133093528395</v>
      </c>
      <c r="BS74" s="154" t="s">
        <v>211</v>
      </c>
      <c r="BT74" s="154">
        <v>8.8040200916851497</v>
      </c>
      <c r="BU74" s="153" t="s">
        <v>211</v>
      </c>
      <c r="BV74" s="153">
        <v>13.710415511077899</v>
      </c>
      <c r="BW74" s="154" t="s">
        <v>192</v>
      </c>
      <c r="BX74" s="154">
        <v>37.015857886122902</v>
      </c>
      <c r="BY74" s="153" t="s">
        <v>192</v>
      </c>
      <c r="BZ74" s="153">
        <v>123.00496253404501</v>
      </c>
      <c r="CA74" s="154" t="s">
        <v>192</v>
      </c>
      <c r="CB74" s="154">
        <v>87.855140871774196</v>
      </c>
      <c r="CC74" s="153" t="s">
        <v>192</v>
      </c>
      <c r="CD74" s="153">
        <v>63.974940263531003</v>
      </c>
      <c r="CE74" s="154" t="s">
        <v>192</v>
      </c>
      <c r="CF74" s="154">
        <v>88.505854081386303</v>
      </c>
      <c r="CG74" s="153" t="s">
        <v>192</v>
      </c>
      <c r="CH74" s="153">
        <v>23.384520633846002</v>
      </c>
      <c r="CI74" s="154" t="s">
        <v>192</v>
      </c>
      <c r="CJ74" s="154">
        <v>163.30766366117501</v>
      </c>
      <c r="CK74" s="153" t="s">
        <v>192</v>
      </c>
      <c r="CL74" s="153">
        <v>153.349298003982</v>
      </c>
      <c r="CM74" s="154" t="s">
        <v>211</v>
      </c>
      <c r="CN74" s="154">
        <v>0.54401788254473404</v>
      </c>
      <c r="CO74" s="153" t="s">
        <v>211</v>
      </c>
      <c r="CP74" s="153">
        <v>15.438031574377</v>
      </c>
    </row>
    <row r="75" spans="1:94" x14ac:dyDescent="0.2">
      <c r="A75" s="107">
        <v>2022</v>
      </c>
      <c r="B75" s="106" t="s">
        <v>170</v>
      </c>
      <c r="C75" s="156" t="s">
        <v>192</v>
      </c>
      <c r="D75" s="156">
        <v>6492.3326177346098</v>
      </c>
      <c r="E75" s="155" t="s">
        <v>192</v>
      </c>
      <c r="F75" s="155">
        <v>312.50463501296099</v>
      </c>
      <c r="G75" s="156" t="s">
        <v>192</v>
      </c>
      <c r="H75" s="156">
        <v>138.64604095019101</v>
      </c>
      <c r="I75" s="155" t="s">
        <v>192</v>
      </c>
      <c r="J75" s="155">
        <v>635.28786933584502</v>
      </c>
      <c r="K75" s="156" t="s">
        <v>192</v>
      </c>
      <c r="L75" s="156">
        <v>26.968397849224601</v>
      </c>
      <c r="M75" s="155" t="s">
        <v>192</v>
      </c>
      <c r="N75" s="155">
        <v>48.559344506695197</v>
      </c>
      <c r="O75" s="154" t="s">
        <v>192</v>
      </c>
      <c r="P75" s="154">
        <v>572.23571416991604</v>
      </c>
      <c r="Q75" s="153" t="s">
        <v>192</v>
      </c>
      <c r="R75" s="153">
        <v>1068.53045576208</v>
      </c>
      <c r="S75" s="154" t="s">
        <v>192</v>
      </c>
      <c r="T75" s="154">
        <v>390.14202387003098</v>
      </c>
      <c r="U75" s="153" t="s">
        <v>192</v>
      </c>
      <c r="V75" s="153">
        <v>295.580001771718</v>
      </c>
      <c r="W75" s="154" t="s">
        <v>192</v>
      </c>
      <c r="X75" s="154">
        <v>190.604024984445</v>
      </c>
      <c r="Y75" s="153" t="s">
        <v>192</v>
      </c>
      <c r="Z75" s="153">
        <v>159.42630864516099</v>
      </c>
      <c r="AA75" s="154" t="s">
        <v>192</v>
      </c>
      <c r="AB75" s="154">
        <v>88.327118595692795</v>
      </c>
      <c r="AC75" s="153" t="s">
        <v>192</v>
      </c>
      <c r="AD75" s="153">
        <v>284.31450075068301</v>
      </c>
      <c r="AE75" s="154" t="s">
        <v>192</v>
      </c>
      <c r="AF75" s="154">
        <v>427.86277176747598</v>
      </c>
      <c r="AG75" s="153" t="s">
        <v>192</v>
      </c>
      <c r="AH75" s="153">
        <v>601.834551779202</v>
      </c>
      <c r="AI75" s="154" t="s">
        <v>192</v>
      </c>
      <c r="AJ75" s="154">
        <v>510.80525211974901</v>
      </c>
      <c r="AK75" s="153" t="s">
        <v>192</v>
      </c>
      <c r="AL75" s="153">
        <v>391.07413477833899</v>
      </c>
      <c r="AM75" s="154" t="s">
        <v>192</v>
      </c>
      <c r="AN75" s="154">
        <v>45.289955866571198</v>
      </c>
      <c r="AO75" s="153" t="s">
        <v>192</v>
      </c>
      <c r="AP75" s="153">
        <v>152.17837641216701</v>
      </c>
      <c r="AQ75" s="154" t="s">
        <v>192</v>
      </c>
      <c r="AR75" s="154">
        <v>136.94475571441501</v>
      </c>
      <c r="AS75" s="153" t="s">
        <v>211</v>
      </c>
      <c r="AT75" s="153">
        <v>0.81160901045102196</v>
      </c>
      <c r="AU75" s="154" t="s">
        <v>211</v>
      </c>
      <c r="AV75" s="154">
        <v>14.404774081602399</v>
      </c>
      <c r="AW75" s="153" t="s">
        <v>192</v>
      </c>
      <c r="AX75" s="153">
        <v>2357.4987089103302</v>
      </c>
      <c r="AY75" s="154" t="s">
        <v>192</v>
      </c>
      <c r="AZ75" s="154">
        <v>181.50778223621299</v>
      </c>
      <c r="BA75" s="153" t="s">
        <v>211</v>
      </c>
      <c r="BB75" s="153">
        <v>6.0127199876684196</v>
      </c>
      <c r="BC75" s="154" t="s">
        <v>192</v>
      </c>
      <c r="BD75" s="154">
        <v>219.55286923219401</v>
      </c>
      <c r="BE75" s="153" t="s">
        <v>211</v>
      </c>
      <c r="BF75" s="153">
        <v>1.9849452264530201</v>
      </c>
      <c r="BG75" s="154" t="s">
        <v>211</v>
      </c>
      <c r="BH75" s="154">
        <v>8.1189942262843804</v>
      </c>
      <c r="BI75" s="153" t="s">
        <v>192</v>
      </c>
      <c r="BJ75" s="153">
        <v>293.0453371621</v>
      </c>
      <c r="BK75" s="154" t="s">
        <v>192</v>
      </c>
      <c r="BL75" s="154">
        <v>534.96280742153601</v>
      </c>
      <c r="BM75" s="153" t="s">
        <v>192</v>
      </c>
      <c r="BN75" s="153">
        <v>173.40448499285401</v>
      </c>
      <c r="BO75" s="154" t="s">
        <v>192</v>
      </c>
      <c r="BP75" s="154">
        <v>139.126426044753</v>
      </c>
      <c r="BQ75" s="153" t="s">
        <v>211</v>
      </c>
      <c r="BR75" s="153">
        <v>13.2719740754937</v>
      </c>
      <c r="BS75" s="154" t="s">
        <v>211</v>
      </c>
      <c r="BT75" s="154">
        <v>7.3648971232075402</v>
      </c>
      <c r="BU75" s="153" t="s">
        <v>211</v>
      </c>
      <c r="BV75" s="153">
        <v>12.6894678072776</v>
      </c>
      <c r="BW75" s="154" t="s">
        <v>192</v>
      </c>
      <c r="BX75" s="154">
        <v>40.379002700240598</v>
      </c>
      <c r="BY75" s="153" t="s">
        <v>192</v>
      </c>
      <c r="BZ75" s="153">
        <v>122.482168758626</v>
      </c>
      <c r="CA75" s="154" t="s">
        <v>192</v>
      </c>
      <c r="CB75" s="154">
        <v>83.525978209228796</v>
      </c>
      <c r="CC75" s="153" t="s">
        <v>192</v>
      </c>
      <c r="CD75" s="153">
        <v>63.932148411425104</v>
      </c>
      <c r="CE75" s="154" t="s">
        <v>192</v>
      </c>
      <c r="CF75" s="154">
        <v>92.610172153077002</v>
      </c>
      <c r="CG75" s="153" t="s">
        <v>192</v>
      </c>
      <c r="CH75" s="153">
        <v>29.140188529766998</v>
      </c>
      <c r="CI75" s="154" t="s">
        <v>192</v>
      </c>
      <c r="CJ75" s="154">
        <v>167.37949196970601</v>
      </c>
      <c r="CK75" s="153" t="s">
        <v>192</v>
      </c>
      <c r="CL75" s="153">
        <v>154.30576407045299</v>
      </c>
      <c r="CM75" s="154" t="s">
        <v>211</v>
      </c>
      <c r="CN75" s="154">
        <v>0.73821914773170605</v>
      </c>
      <c r="CO75" s="153" t="s">
        <v>211</v>
      </c>
      <c r="CP75" s="153">
        <v>11.9628694240371</v>
      </c>
    </row>
    <row r="76" spans="1:94" x14ac:dyDescent="0.2">
      <c r="A76" s="107">
        <v>2022</v>
      </c>
      <c r="B76" s="106" t="s">
        <v>169</v>
      </c>
      <c r="C76" s="156" t="s">
        <v>192</v>
      </c>
      <c r="D76" s="156">
        <v>6492.90403563364</v>
      </c>
      <c r="E76" s="155" t="s">
        <v>192</v>
      </c>
      <c r="F76" s="155">
        <v>317.22371146140199</v>
      </c>
      <c r="G76" s="156" t="s">
        <v>192</v>
      </c>
      <c r="H76" s="156">
        <v>140.55113434225501</v>
      </c>
      <c r="I76" s="155" t="s">
        <v>192</v>
      </c>
      <c r="J76" s="155">
        <v>630.84380020791696</v>
      </c>
      <c r="K76" s="156" t="s">
        <v>192</v>
      </c>
      <c r="L76" s="156">
        <v>22.724501148049701</v>
      </c>
      <c r="M76" s="155" t="s">
        <v>192</v>
      </c>
      <c r="N76" s="155">
        <v>51.632088418839999</v>
      </c>
      <c r="O76" s="154" t="s">
        <v>192</v>
      </c>
      <c r="P76" s="154">
        <v>572.39839760607902</v>
      </c>
      <c r="Q76" s="153" t="s">
        <v>192</v>
      </c>
      <c r="R76" s="153">
        <v>1065.3737164281599</v>
      </c>
      <c r="S76" s="154" t="s">
        <v>192</v>
      </c>
      <c r="T76" s="154">
        <v>387.40583207882798</v>
      </c>
      <c r="U76" s="153" t="s">
        <v>192</v>
      </c>
      <c r="V76" s="153">
        <v>300.39609382487203</v>
      </c>
      <c r="W76" s="154" t="s">
        <v>192</v>
      </c>
      <c r="X76" s="154">
        <v>182.95033746199601</v>
      </c>
      <c r="Y76" s="153" t="s">
        <v>192</v>
      </c>
      <c r="Z76" s="153">
        <v>159.12973949268201</v>
      </c>
      <c r="AA76" s="154" t="s">
        <v>192</v>
      </c>
      <c r="AB76" s="154">
        <v>83.442425499784605</v>
      </c>
      <c r="AC76" s="153" t="s">
        <v>192</v>
      </c>
      <c r="AD76" s="153">
        <v>288.970864053524</v>
      </c>
      <c r="AE76" s="154" t="s">
        <v>192</v>
      </c>
      <c r="AF76" s="154">
        <v>438.58318155529503</v>
      </c>
      <c r="AG76" s="153" t="s">
        <v>192</v>
      </c>
      <c r="AH76" s="153">
        <v>599.46553516014399</v>
      </c>
      <c r="AI76" s="154" t="s">
        <v>192</v>
      </c>
      <c r="AJ76" s="154">
        <v>497.50675409546199</v>
      </c>
      <c r="AK76" s="153" t="s">
        <v>192</v>
      </c>
      <c r="AL76" s="153">
        <v>395.70312218438499</v>
      </c>
      <c r="AM76" s="154" t="s">
        <v>192</v>
      </c>
      <c r="AN76" s="154">
        <v>49.148560249025202</v>
      </c>
      <c r="AO76" s="153" t="s">
        <v>192</v>
      </c>
      <c r="AP76" s="153">
        <v>147.13233865458699</v>
      </c>
      <c r="AQ76" s="154" t="s">
        <v>192</v>
      </c>
      <c r="AR76" s="154">
        <v>140.839609399507</v>
      </c>
      <c r="AS76" s="153" t="s">
        <v>211</v>
      </c>
      <c r="AT76" s="153">
        <v>0.82466081321260898</v>
      </c>
      <c r="AU76" s="154" t="s">
        <v>211</v>
      </c>
      <c r="AV76" s="154">
        <v>20.657631497626799</v>
      </c>
      <c r="AW76" s="153" t="s">
        <v>192</v>
      </c>
      <c r="AX76" s="153">
        <v>2360.3891512272498</v>
      </c>
      <c r="AY76" s="154" t="s">
        <v>192</v>
      </c>
      <c r="AZ76" s="154">
        <v>191.584759447274</v>
      </c>
      <c r="BA76" s="153" t="s">
        <v>211</v>
      </c>
      <c r="BB76" s="153">
        <v>5.6172093088745196</v>
      </c>
      <c r="BC76" s="154" t="s">
        <v>192</v>
      </c>
      <c r="BD76" s="154">
        <v>225.79723438488699</v>
      </c>
      <c r="BE76" s="153" t="s">
        <v>211</v>
      </c>
      <c r="BF76" s="153">
        <v>1.4968103618823001</v>
      </c>
      <c r="BG76" s="154" t="s">
        <v>211</v>
      </c>
      <c r="BH76" s="154">
        <v>8.0058022059984406</v>
      </c>
      <c r="BI76" s="153" t="s">
        <v>192</v>
      </c>
      <c r="BJ76" s="153">
        <v>293.01620142611</v>
      </c>
      <c r="BK76" s="154" t="s">
        <v>192</v>
      </c>
      <c r="BL76" s="154">
        <v>524.669318357566</v>
      </c>
      <c r="BM76" s="153" t="s">
        <v>192</v>
      </c>
      <c r="BN76" s="153">
        <v>173.09000162859999</v>
      </c>
      <c r="BO76" s="154" t="s">
        <v>192</v>
      </c>
      <c r="BP76" s="154">
        <v>140.70914223856801</v>
      </c>
      <c r="BQ76" s="153" t="s">
        <v>211</v>
      </c>
      <c r="BR76" s="153">
        <v>12.4939258466197</v>
      </c>
      <c r="BS76" s="154" t="s">
        <v>211</v>
      </c>
      <c r="BT76" s="154">
        <v>6.7530010760188404</v>
      </c>
      <c r="BU76" s="153" t="s">
        <v>211</v>
      </c>
      <c r="BV76" s="153">
        <v>13.198256975650599</v>
      </c>
      <c r="BW76" s="154" t="s">
        <v>192</v>
      </c>
      <c r="BX76" s="154">
        <v>46.001133267101601</v>
      </c>
      <c r="BY76" s="153" t="s">
        <v>192</v>
      </c>
      <c r="BZ76" s="153">
        <v>109.121376534699</v>
      </c>
      <c r="CA76" s="154" t="s">
        <v>192</v>
      </c>
      <c r="CB76" s="154">
        <v>85.507297353099005</v>
      </c>
      <c r="CC76" s="153" t="s">
        <v>192</v>
      </c>
      <c r="CD76" s="153">
        <v>61.225011880162697</v>
      </c>
      <c r="CE76" s="154" t="s">
        <v>192</v>
      </c>
      <c r="CF76" s="154">
        <v>95.218847176489803</v>
      </c>
      <c r="CG76" s="153" t="s">
        <v>192</v>
      </c>
      <c r="CH76" s="153">
        <v>37.372734540871399</v>
      </c>
      <c r="CI76" s="154" t="s">
        <v>192</v>
      </c>
      <c r="CJ76" s="154">
        <v>169.502025500965</v>
      </c>
      <c r="CK76" s="153" t="s">
        <v>192</v>
      </c>
      <c r="CL76" s="153">
        <v>148.46626399028099</v>
      </c>
      <c r="CM76" s="154" t="s">
        <v>211</v>
      </c>
      <c r="CN76" s="154">
        <v>0.71582166309647399</v>
      </c>
      <c r="CO76" s="153" t="s">
        <v>211</v>
      </c>
      <c r="CP76" s="153">
        <v>10.8269760624306</v>
      </c>
    </row>
    <row r="77" spans="1:94" x14ac:dyDescent="0.2">
      <c r="A77" s="107">
        <v>2022</v>
      </c>
      <c r="B77" s="106" t="s">
        <v>168</v>
      </c>
      <c r="C77" s="156" t="s">
        <v>192</v>
      </c>
      <c r="D77" s="156">
        <v>6450.3026360063404</v>
      </c>
      <c r="E77" s="155" t="s">
        <v>192</v>
      </c>
      <c r="F77" s="155">
        <v>319.54886458040602</v>
      </c>
      <c r="G77" s="156" t="s">
        <v>192</v>
      </c>
      <c r="H77" s="156">
        <v>145.08518721050899</v>
      </c>
      <c r="I77" s="155" t="s">
        <v>192</v>
      </c>
      <c r="J77" s="155">
        <v>617.96689062176097</v>
      </c>
      <c r="K77" s="156" t="s">
        <v>192</v>
      </c>
      <c r="L77" s="156">
        <v>23.322175525371399</v>
      </c>
      <c r="M77" s="155" t="s">
        <v>192</v>
      </c>
      <c r="N77" s="155">
        <v>51.092619188819398</v>
      </c>
      <c r="O77" s="154" t="s">
        <v>192</v>
      </c>
      <c r="P77" s="154">
        <v>548.36850344736297</v>
      </c>
      <c r="Q77" s="153" t="s">
        <v>192</v>
      </c>
      <c r="R77" s="153">
        <v>1069.6849472403601</v>
      </c>
      <c r="S77" s="154" t="s">
        <v>192</v>
      </c>
      <c r="T77" s="154">
        <v>390.01922306758098</v>
      </c>
      <c r="U77" s="153" t="s">
        <v>192</v>
      </c>
      <c r="V77" s="153">
        <v>303.58064003221398</v>
      </c>
      <c r="W77" s="154" t="s">
        <v>192</v>
      </c>
      <c r="X77" s="154">
        <v>173.73941709792399</v>
      </c>
      <c r="Y77" s="153" t="s">
        <v>192</v>
      </c>
      <c r="Z77" s="153">
        <v>152.76595845234201</v>
      </c>
      <c r="AA77" s="154" t="s">
        <v>192</v>
      </c>
      <c r="AB77" s="154">
        <v>79.138161356657506</v>
      </c>
      <c r="AC77" s="153" t="s">
        <v>192</v>
      </c>
      <c r="AD77" s="153">
        <v>302.39462176793501</v>
      </c>
      <c r="AE77" s="154" t="s">
        <v>192</v>
      </c>
      <c r="AF77" s="154">
        <v>414.15393071646503</v>
      </c>
      <c r="AG77" s="153" t="s">
        <v>192</v>
      </c>
      <c r="AH77" s="153">
        <v>593.35406838366202</v>
      </c>
      <c r="AI77" s="154" t="s">
        <v>192</v>
      </c>
      <c r="AJ77" s="154">
        <v>506.28475881500202</v>
      </c>
      <c r="AK77" s="153" t="s">
        <v>192</v>
      </c>
      <c r="AL77" s="153">
        <v>382.68197709500799</v>
      </c>
      <c r="AM77" s="154" t="s">
        <v>192</v>
      </c>
      <c r="AN77" s="154">
        <v>56.837030431918699</v>
      </c>
      <c r="AO77" s="153" t="s">
        <v>192</v>
      </c>
      <c r="AP77" s="153">
        <v>161.13084863658401</v>
      </c>
      <c r="AQ77" s="154" t="s">
        <v>192</v>
      </c>
      <c r="AR77" s="154">
        <v>133.62574239243</v>
      </c>
      <c r="AS77" s="153" t="s">
        <v>211</v>
      </c>
      <c r="AT77" s="153">
        <v>1.46499871112163</v>
      </c>
      <c r="AU77" s="154" t="s">
        <v>211</v>
      </c>
      <c r="AV77" s="154">
        <v>24.062071234902</v>
      </c>
      <c r="AW77" s="153" t="s">
        <v>192</v>
      </c>
      <c r="AX77" s="153">
        <v>2393.2415721826401</v>
      </c>
      <c r="AY77" s="154" t="s">
        <v>192</v>
      </c>
      <c r="AZ77" s="154">
        <v>195.70928996188499</v>
      </c>
      <c r="BA77" s="153" t="s">
        <v>211</v>
      </c>
      <c r="BB77" s="153">
        <v>5.5054688871137296</v>
      </c>
      <c r="BC77" s="154" t="s">
        <v>192</v>
      </c>
      <c r="BD77" s="154">
        <v>223.94834818399499</v>
      </c>
      <c r="BE77" s="153" t="s">
        <v>211</v>
      </c>
      <c r="BF77" s="153">
        <v>2.3840676088505401</v>
      </c>
      <c r="BG77" s="154" t="s">
        <v>211</v>
      </c>
      <c r="BH77" s="154">
        <v>8.5817289468595401</v>
      </c>
      <c r="BI77" s="153" t="s">
        <v>192</v>
      </c>
      <c r="BJ77" s="153">
        <v>309.167973298128</v>
      </c>
      <c r="BK77" s="154" t="s">
        <v>192</v>
      </c>
      <c r="BL77" s="154">
        <v>523.50850426641603</v>
      </c>
      <c r="BM77" s="153" t="s">
        <v>192</v>
      </c>
      <c r="BN77" s="153">
        <v>167.940953816171</v>
      </c>
      <c r="BO77" s="154" t="s">
        <v>192</v>
      </c>
      <c r="BP77" s="154">
        <v>152.54532028276401</v>
      </c>
      <c r="BQ77" s="153" t="s">
        <v>211</v>
      </c>
      <c r="BR77" s="153">
        <v>12.380732063354699</v>
      </c>
      <c r="BS77" s="154" t="s">
        <v>211</v>
      </c>
      <c r="BT77" s="154">
        <v>3.61139499469374</v>
      </c>
      <c r="BU77" s="153" t="s">
        <v>211</v>
      </c>
      <c r="BV77" s="153">
        <v>10.2966943522308</v>
      </c>
      <c r="BW77" s="154" t="s">
        <v>192</v>
      </c>
      <c r="BX77" s="154">
        <v>43.5865861016797</v>
      </c>
      <c r="BY77" s="153" t="s">
        <v>192</v>
      </c>
      <c r="BZ77" s="153">
        <v>113.148626254302</v>
      </c>
      <c r="CA77" s="154" t="s">
        <v>192</v>
      </c>
      <c r="CB77" s="154">
        <v>85.900710404373498</v>
      </c>
      <c r="CC77" s="153" t="s">
        <v>192</v>
      </c>
      <c r="CD77" s="153">
        <v>57.080553881782301</v>
      </c>
      <c r="CE77" s="154" t="s">
        <v>192</v>
      </c>
      <c r="CF77" s="154">
        <v>99.113271148323804</v>
      </c>
      <c r="CG77" s="153" t="s">
        <v>192</v>
      </c>
      <c r="CH77" s="153">
        <v>40.373684277825099</v>
      </c>
      <c r="CI77" s="154" t="s">
        <v>192</v>
      </c>
      <c r="CJ77" s="154">
        <v>166.29637342532499</v>
      </c>
      <c r="CK77" s="153" t="s">
        <v>192</v>
      </c>
      <c r="CL77" s="153">
        <v>155.03016502679199</v>
      </c>
      <c r="CM77" s="154" t="s">
        <v>211</v>
      </c>
      <c r="CN77" s="154">
        <v>0.208470679740758</v>
      </c>
      <c r="CO77" s="153" t="s">
        <v>211</v>
      </c>
      <c r="CP77" s="153">
        <v>16.9226543200325</v>
      </c>
    </row>
    <row r="78" spans="1:94" x14ac:dyDescent="0.2">
      <c r="A78" s="107">
        <v>2022</v>
      </c>
      <c r="B78" s="106" t="s">
        <v>167</v>
      </c>
      <c r="C78" s="156" t="s">
        <v>192</v>
      </c>
      <c r="D78" s="156">
        <v>6415.5632211031698</v>
      </c>
      <c r="E78" s="155" t="s">
        <v>192</v>
      </c>
      <c r="F78" s="155">
        <v>312.05326086093203</v>
      </c>
      <c r="G78" s="156" t="s">
        <v>192</v>
      </c>
      <c r="H78" s="156">
        <v>147.62176242038299</v>
      </c>
      <c r="I78" s="155" t="s">
        <v>192</v>
      </c>
      <c r="J78" s="155">
        <v>603.95094612052696</v>
      </c>
      <c r="K78" s="156" t="s">
        <v>192</v>
      </c>
      <c r="L78" s="156">
        <v>19.790001243121001</v>
      </c>
      <c r="M78" s="155" t="s">
        <v>192</v>
      </c>
      <c r="N78" s="155">
        <v>49.6131055641644</v>
      </c>
      <c r="O78" s="154" t="s">
        <v>192</v>
      </c>
      <c r="P78" s="154">
        <v>535.97871345757005</v>
      </c>
      <c r="Q78" s="153" t="s">
        <v>192</v>
      </c>
      <c r="R78" s="153">
        <v>1084.0816919693</v>
      </c>
      <c r="S78" s="154" t="s">
        <v>192</v>
      </c>
      <c r="T78" s="154">
        <v>380.91459879599398</v>
      </c>
      <c r="U78" s="153" t="s">
        <v>192</v>
      </c>
      <c r="V78" s="153">
        <v>297.43868699800902</v>
      </c>
      <c r="W78" s="154" t="s">
        <v>192</v>
      </c>
      <c r="X78" s="154">
        <v>167.56312921991201</v>
      </c>
      <c r="Y78" s="153" t="s">
        <v>192</v>
      </c>
      <c r="Z78" s="153">
        <v>149.962255162074</v>
      </c>
      <c r="AA78" s="154" t="s">
        <v>192</v>
      </c>
      <c r="AB78" s="154">
        <v>77.262354001118993</v>
      </c>
      <c r="AC78" s="153" t="s">
        <v>192</v>
      </c>
      <c r="AD78" s="153">
        <v>316.83132004673303</v>
      </c>
      <c r="AE78" s="154" t="s">
        <v>192</v>
      </c>
      <c r="AF78" s="154">
        <v>421.13540894032701</v>
      </c>
      <c r="AG78" s="153" t="s">
        <v>192</v>
      </c>
      <c r="AH78" s="153">
        <v>591.52868488635602</v>
      </c>
      <c r="AI78" s="154" t="s">
        <v>192</v>
      </c>
      <c r="AJ78" s="154">
        <v>507.35679507999203</v>
      </c>
      <c r="AK78" s="153" t="s">
        <v>192</v>
      </c>
      <c r="AL78" s="153">
        <v>366.77207943338902</v>
      </c>
      <c r="AM78" s="154" t="s">
        <v>192</v>
      </c>
      <c r="AN78" s="154">
        <v>62.216241041556202</v>
      </c>
      <c r="AO78" s="153" t="s">
        <v>192</v>
      </c>
      <c r="AP78" s="153">
        <v>161.671807892321</v>
      </c>
      <c r="AQ78" s="154" t="s">
        <v>192</v>
      </c>
      <c r="AR78" s="154">
        <v>138.39400795294901</v>
      </c>
      <c r="AS78" s="153" t="s">
        <v>211</v>
      </c>
      <c r="AT78" s="153">
        <v>1.45011607676508</v>
      </c>
      <c r="AU78" s="154" t="s">
        <v>211</v>
      </c>
      <c r="AV78" s="154">
        <v>21.976253939673501</v>
      </c>
      <c r="AW78" s="153" t="s">
        <v>192</v>
      </c>
      <c r="AX78" s="153">
        <v>2453.7597901385202</v>
      </c>
      <c r="AY78" s="154" t="s">
        <v>192</v>
      </c>
      <c r="AZ78" s="154">
        <v>202.876449372552</v>
      </c>
      <c r="BA78" s="153" t="s">
        <v>211</v>
      </c>
      <c r="BB78" s="153">
        <v>4.1152644867494903</v>
      </c>
      <c r="BC78" s="154" t="s">
        <v>192</v>
      </c>
      <c r="BD78" s="154">
        <v>236.48125281220001</v>
      </c>
      <c r="BE78" s="153" t="s">
        <v>211</v>
      </c>
      <c r="BF78" s="153">
        <v>2.6448142567298301</v>
      </c>
      <c r="BG78" s="154" t="s">
        <v>211</v>
      </c>
      <c r="BH78" s="154">
        <v>10.277986749055</v>
      </c>
      <c r="BI78" s="153" t="s">
        <v>192</v>
      </c>
      <c r="BJ78" s="153">
        <v>316.35723927367798</v>
      </c>
      <c r="BK78" s="154" t="s">
        <v>192</v>
      </c>
      <c r="BL78" s="154">
        <v>541.55308617274704</v>
      </c>
      <c r="BM78" s="153" t="s">
        <v>192</v>
      </c>
      <c r="BN78" s="153">
        <v>176.366250698225</v>
      </c>
      <c r="BO78" s="154" t="s">
        <v>192</v>
      </c>
      <c r="BP78" s="154">
        <v>149.15685896012701</v>
      </c>
      <c r="BQ78" s="153" t="s">
        <v>211</v>
      </c>
      <c r="BR78" s="153">
        <v>12.958026557915201</v>
      </c>
      <c r="BS78" s="154" t="s">
        <v>211</v>
      </c>
      <c r="BT78" s="154">
        <v>4.0433024769896004</v>
      </c>
      <c r="BU78" s="153" t="s">
        <v>211</v>
      </c>
      <c r="BV78" s="153">
        <v>10.570590819793001</v>
      </c>
      <c r="BW78" s="154" t="s">
        <v>192</v>
      </c>
      <c r="BX78" s="154">
        <v>43.469849965395099</v>
      </c>
      <c r="BY78" s="153" t="s">
        <v>192</v>
      </c>
      <c r="BZ78" s="153">
        <v>121.82974950544801</v>
      </c>
      <c r="CA78" s="154" t="s">
        <v>192</v>
      </c>
      <c r="CB78" s="154">
        <v>85.957863201280801</v>
      </c>
      <c r="CC78" s="153" t="s">
        <v>192</v>
      </c>
      <c r="CD78" s="153">
        <v>63.7052021378652</v>
      </c>
      <c r="CE78" s="154" t="s">
        <v>192</v>
      </c>
      <c r="CF78" s="154">
        <v>95.136419996690293</v>
      </c>
      <c r="CG78" s="153" t="s">
        <v>192</v>
      </c>
      <c r="CH78" s="153">
        <v>40.477622769183903</v>
      </c>
      <c r="CI78" s="154" t="s">
        <v>192</v>
      </c>
      <c r="CJ78" s="154">
        <v>158.67750825188099</v>
      </c>
      <c r="CK78" s="153" t="s">
        <v>192</v>
      </c>
      <c r="CL78" s="153">
        <v>158.22061748331899</v>
      </c>
      <c r="CM78" s="154" t="s">
        <v>211</v>
      </c>
      <c r="CN78" s="154">
        <v>0</v>
      </c>
      <c r="CO78" s="153" t="s">
        <v>211</v>
      </c>
      <c r="CP78" s="153">
        <v>18.883834190693801</v>
      </c>
    </row>
    <row r="79" spans="1:94" x14ac:dyDescent="0.2">
      <c r="A79" s="107">
        <v>2022</v>
      </c>
      <c r="B79" s="106" t="s">
        <v>166</v>
      </c>
      <c r="C79" s="156" t="s">
        <v>192</v>
      </c>
      <c r="D79" s="156">
        <v>6460.0604044224901</v>
      </c>
      <c r="E79" s="155" t="s">
        <v>192</v>
      </c>
      <c r="F79" s="155">
        <v>326.99228363843298</v>
      </c>
      <c r="G79" s="156" t="s">
        <v>192</v>
      </c>
      <c r="H79" s="156">
        <v>147.80951776444999</v>
      </c>
      <c r="I79" s="155" t="s">
        <v>192</v>
      </c>
      <c r="J79" s="155">
        <v>586.32894522633103</v>
      </c>
      <c r="K79" s="156" t="s">
        <v>192</v>
      </c>
      <c r="L79" s="156">
        <v>22.778043560267701</v>
      </c>
      <c r="M79" s="155" t="s">
        <v>192</v>
      </c>
      <c r="N79" s="155">
        <v>50.5309309332849</v>
      </c>
      <c r="O79" s="154" t="s">
        <v>192</v>
      </c>
      <c r="P79" s="154">
        <v>528.59634391601401</v>
      </c>
      <c r="Q79" s="153" t="s">
        <v>192</v>
      </c>
      <c r="R79" s="153">
        <v>1103.3739151744101</v>
      </c>
      <c r="S79" s="154" t="s">
        <v>192</v>
      </c>
      <c r="T79" s="154">
        <v>404.26330150272503</v>
      </c>
      <c r="U79" s="153" t="s">
        <v>192</v>
      </c>
      <c r="V79" s="153">
        <v>303.73137224115601</v>
      </c>
      <c r="W79" s="154" t="s">
        <v>192</v>
      </c>
      <c r="X79" s="154">
        <v>160.36748136035601</v>
      </c>
      <c r="Y79" s="153" t="s">
        <v>192</v>
      </c>
      <c r="Z79" s="153">
        <v>157.62117702438101</v>
      </c>
      <c r="AA79" s="154" t="s">
        <v>192</v>
      </c>
      <c r="AB79" s="154">
        <v>79.615840651290696</v>
      </c>
      <c r="AC79" s="153" t="s">
        <v>192</v>
      </c>
      <c r="AD79" s="153">
        <v>326.33011000355498</v>
      </c>
      <c r="AE79" s="154" t="s">
        <v>192</v>
      </c>
      <c r="AF79" s="154">
        <v>402.27581599357001</v>
      </c>
      <c r="AG79" s="153" t="s">
        <v>192</v>
      </c>
      <c r="AH79" s="153">
        <v>584.26316674275301</v>
      </c>
      <c r="AI79" s="154" t="s">
        <v>192</v>
      </c>
      <c r="AJ79" s="154">
        <v>524.64958427961301</v>
      </c>
      <c r="AK79" s="153" t="s">
        <v>192</v>
      </c>
      <c r="AL79" s="153">
        <v>365.795884869926</v>
      </c>
      <c r="AM79" s="154" t="s">
        <v>192</v>
      </c>
      <c r="AN79" s="154">
        <v>61.522584323637801</v>
      </c>
      <c r="AO79" s="153" t="s">
        <v>192</v>
      </c>
      <c r="AP79" s="153">
        <v>158.8529299283</v>
      </c>
      <c r="AQ79" s="154" t="s">
        <v>192</v>
      </c>
      <c r="AR79" s="154">
        <v>146.512917775175</v>
      </c>
      <c r="AS79" s="153" t="s">
        <v>211</v>
      </c>
      <c r="AT79" s="153">
        <v>1.45102120147935</v>
      </c>
      <c r="AU79" s="154" t="s">
        <v>211</v>
      </c>
      <c r="AV79" s="154">
        <v>16.397236311382699</v>
      </c>
      <c r="AW79" s="153" t="s">
        <v>192</v>
      </c>
      <c r="AX79" s="153">
        <v>2423.0300296195801</v>
      </c>
      <c r="AY79" s="154" t="s">
        <v>192</v>
      </c>
      <c r="AZ79" s="154">
        <v>206.75543074730899</v>
      </c>
      <c r="BA79" s="153" t="s">
        <v>211</v>
      </c>
      <c r="BB79" s="153">
        <v>4.4986980600002902</v>
      </c>
      <c r="BC79" s="154" t="s">
        <v>192</v>
      </c>
      <c r="BD79" s="154">
        <v>226.56269992223699</v>
      </c>
      <c r="BE79" s="153" t="s">
        <v>211</v>
      </c>
      <c r="BF79" s="153">
        <v>2.9670979813940499</v>
      </c>
      <c r="BG79" s="154" t="s">
        <v>211</v>
      </c>
      <c r="BH79" s="154">
        <v>8.7754609705564608</v>
      </c>
      <c r="BI79" s="153" t="s">
        <v>192</v>
      </c>
      <c r="BJ79" s="153">
        <v>298.199528774594</v>
      </c>
      <c r="BK79" s="154" t="s">
        <v>192</v>
      </c>
      <c r="BL79" s="154">
        <v>551.22900322979604</v>
      </c>
      <c r="BM79" s="153" t="s">
        <v>192</v>
      </c>
      <c r="BN79" s="153">
        <v>171.288538138153</v>
      </c>
      <c r="BO79" s="154" t="s">
        <v>192</v>
      </c>
      <c r="BP79" s="154">
        <v>135.140549194024</v>
      </c>
      <c r="BQ79" s="153" t="s">
        <v>211</v>
      </c>
      <c r="BR79" s="153">
        <v>17.812914811374199</v>
      </c>
      <c r="BS79" s="154" t="s">
        <v>211</v>
      </c>
      <c r="BT79" s="154">
        <v>4.3214230052827602</v>
      </c>
      <c r="BU79" s="153" t="s">
        <v>211</v>
      </c>
      <c r="BV79" s="153">
        <v>12.3331419926084</v>
      </c>
      <c r="BW79" s="154" t="s">
        <v>192</v>
      </c>
      <c r="BX79" s="154">
        <v>39.7881737911827</v>
      </c>
      <c r="BY79" s="153" t="s">
        <v>192</v>
      </c>
      <c r="BZ79" s="153">
        <v>118.592744956608</v>
      </c>
      <c r="CA79" s="154" t="s">
        <v>192</v>
      </c>
      <c r="CB79" s="154">
        <v>87.214249789055899</v>
      </c>
      <c r="CC79" s="153" t="s">
        <v>192</v>
      </c>
      <c r="CD79" s="153">
        <v>67.737595046298694</v>
      </c>
      <c r="CE79" s="154" t="s">
        <v>192</v>
      </c>
      <c r="CF79" s="154">
        <v>101.47958486992501</v>
      </c>
      <c r="CG79" s="153" t="s">
        <v>192</v>
      </c>
      <c r="CH79" s="153">
        <v>36.249493293951403</v>
      </c>
      <c r="CI79" s="154" t="s">
        <v>192</v>
      </c>
      <c r="CJ79" s="154">
        <v>152.73820350517701</v>
      </c>
      <c r="CK79" s="153" t="s">
        <v>192</v>
      </c>
      <c r="CL79" s="153">
        <v>160.710186423849</v>
      </c>
      <c r="CM79" s="154" t="s">
        <v>211</v>
      </c>
      <c r="CN79" s="154">
        <v>0</v>
      </c>
      <c r="CO79" s="153" t="s">
        <v>211</v>
      </c>
      <c r="CP79" s="153">
        <v>18.635311116207198</v>
      </c>
    </row>
    <row r="80" spans="1:94" x14ac:dyDescent="0.2">
      <c r="A80" s="107">
        <v>2022</v>
      </c>
      <c r="B80" s="106" t="s">
        <v>165</v>
      </c>
      <c r="C80" s="156" t="s">
        <v>192</v>
      </c>
      <c r="D80" s="156">
        <v>6511.6657689039002</v>
      </c>
      <c r="E80" s="155" t="s">
        <v>192</v>
      </c>
      <c r="F80" s="155">
        <v>350.50633072056002</v>
      </c>
      <c r="G80" s="156" t="s">
        <v>192</v>
      </c>
      <c r="H80" s="156">
        <v>138.792272630253</v>
      </c>
      <c r="I80" s="155" t="s">
        <v>192</v>
      </c>
      <c r="J80" s="155">
        <v>609.63675603302102</v>
      </c>
      <c r="K80" s="156" t="s">
        <v>192</v>
      </c>
      <c r="L80" s="156">
        <v>22.792192163767101</v>
      </c>
      <c r="M80" s="155" t="s">
        <v>192</v>
      </c>
      <c r="N80" s="155">
        <v>53.302827436878601</v>
      </c>
      <c r="O80" s="154" t="s">
        <v>192</v>
      </c>
      <c r="P80" s="154">
        <v>520.41123712912702</v>
      </c>
      <c r="Q80" s="153" t="s">
        <v>192</v>
      </c>
      <c r="R80" s="153">
        <v>1093.6773912599001</v>
      </c>
      <c r="S80" s="154" t="s">
        <v>192</v>
      </c>
      <c r="T80" s="154">
        <v>397.77764728301997</v>
      </c>
      <c r="U80" s="153" t="s">
        <v>192</v>
      </c>
      <c r="V80" s="153">
        <v>312.84672934143799</v>
      </c>
      <c r="W80" s="154" t="s">
        <v>192</v>
      </c>
      <c r="X80" s="154">
        <v>167.145755405399</v>
      </c>
      <c r="Y80" s="153" t="s">
        <v>192</v>
      </c>
      <c r="Z80" s="153">
        <v>155.50993828210801</v>
      </c>
      <c r="AA80" s="154" t="s">
        <v>192</v>
      </c>
      <c r="AB80" s="154">
        <v>83.556109255563001</v>
      </c>
      <c r="AC80" s="153" t="s">
        <v>192</v>
      </c>
      <c r="AD80" s="153">
        <v>320.70263283784698</v>
      </c>
      <c r="AE80" s="154" t="s">
        <v>192</v>
      </c>
      <c r="AF80" s="154">
        <v>435.50528078030499</v>
      </c>
      <c r="AG80" s="153" t="s">
        <v>192</v>
      </c>
      <c r="AH80" s="153">
        <v>581.73891822310497</v>
      </c>
      <c r="AI80" s="154" t="s">
        <v>192</v>
      </c>
      <c r="AJ80" s="154">
        <v>515.49375502827002</v>
      </c>
      <c r="AK80" s="153" t="s">
        <v>192</v>
      </c>
      <c r="AL80" s="153">
        <v>375.31266826079099</v>
      </c>
      <c r="AM80" s="154" t="s">
        <v>192</v>
      </c>
      <c r="AN80" s="154">
        <v>61.2746417071019</v>
      </c>
      <c r="AO80" s="153" t="s">
        <v>192</v>
      </c>
      <c r="AP80" s="153">
        <v>156.41752020210799</v>
      </c>
      <c r="AQ80" s="154" t="s">
        <v>192</v>
      </c>
      <c r="AR80" s="154">
        <v>145.22123002930701</v>
      </c>
      <c r="AS80" s="153" t="s">
        <v>211</v>
      </c>
      <c r="AT80" s="153">
        <v>0.850765784540505</v>
      </c>
      <c r="AU80" s="154" t="s">
        <v>211</v>
      </c>
      <c r="AV80" s="154">
        <v>13.1931691094972</v>
      </c>
      <c r="AW80" s="153" t="s">
        <v>192</v>
      </c>
      <c r="AX80" s="153">
        <v>2453.56461103226</v>
      </c>
      <c r="AY80" s="154" t="s">
        <v>192</v>
      </c>
      <c r="AZ80" s="154">
        <v>224.08053223749599</v>
      </c>
      <c r="BA80" s="153" t="s">
        <v>211</v>
      </c>
      <c r="BB80" s="153">
        <v>4.4307669820980999</v>
      </c>
      <c r="BC80" s="154" t="s">
        <v>192</v>
      </c>
      <c r="BD80" s="154">
        <v>232.58648193259901</v>
      </c>
      <c r="BE80" s="153" t="s">
        <v>211</v>
      </c>
      <c r="BF80" s="153">
        <v>3.5995093102561002</v>
      </c>
      <c r="BG80" s="154" t="s">
        <v>211</v>
      </c>
      <c r="BH80" s="154">
        <v>9.4274485467394502</v>
      </c>
      <c r="BI80" s="153" t="s">
        <v>192</v>
      </c>
      <c r="BJ80" s="153">
        <v>293.52442760553498</v>
      </c>
      <c r="BK80" s="154" t="s">
        <v>192</v>
      </c>
      <c r="BL80" s="154">
        <v>550.39739681824403</v>
      </c>
      <c r="BM80" s="153" t="s">
        <v>192</v>
      </c>
      <c r="BN80" s="153">
        <v>180.08012328022301</v>
      </c>
      <c r="BO80" s="154" t="s">
        <v>192</v>
      </c>
      <c r="BP80" s="154">
        <v>131.857056642744</v>
      </c>
      <c r="BQ80" s="153" t="s">
        <v>211</v>
      </c>
      <c r="BR80" s="153">
        <v>17.274575916549601</v>
      </c>
      <c r="BS80" s="154" t="s">
        <v>211</v>
      </c>
      <c r="BT80" s="154">
        <v>5.98685065143047</v>
      </c>
      <c r="BU80" s="153" t="s">
        <v>211</v>
      </c>
      <c r="BV80" s="153">
        <v>10.298393028479699</v>
      </c>
      <c r="BW80" s="154" t="s">
        <v>192</v>
      </c>
      <c r="BX80" s="154">
        <v>37.867875883439901</v>
      </c>
      <c r="BY80" s="153" t="s">
        <v>192</v>
      </c>
      <c r="BZ80" s="153">
        <v>131.586972027798</v>
      </c>
      <c r="CA80" s="154" t="s">
        <v>192</v>
      </c>
      <c r="CB80" s="154">
        <v>89.392711161661495</v>
      </c>
      <c r="CC80" s="153" t="s">
        <v>192</v>
      </c>
      <c r="CD80" s="153">
        <v>63.595845278052302</v>
      </c>
      <c r="CE80" s="154" t="s">
        <v>192</v>
      </c>
      <c r="CF80" s="154">
        <v>103.499029021057</v>
      </c>
      <c r="CG80" s="153" t="s">
        <v>192</v>
      </c>
      <c r="CH80" s="153">
        <v>35.2532741141396</v>
      </c>
      <c r="CI80" s="154" t="s">
        <v>192</v>
      </c>
      <c r="CJ80" s="154">
        <v>152.96506360645</v>
      </c>
      <c r="CK80" s="153" t="s">
        <v>192</v>
      </c>
      <c r="CL80" s="153">
        <v>164.31852973901101</v>
      </c>
      <c r="CM80" s="154" t="s">
        <v>211</v>
      </c>
      <c r="CN80" s="154">
        <v>0</v>
      </c>
      <c r="CO80" s="153" t="s">
        <v>211</v>
      </c>
      <c r="CP80" s="153">
        <v>11.541747248255</v>
      </c>
    </row>
    <row r="81" spans="1:94" x14ac:dyDescent="0.2">
      <c r="A81" s="107">
        <v>2022</v>
      </c>
      <c r="B81" s="106" t="s">
        <v>164</v>
      </c>
      <c r="C81" s="156" t="s">
        <v>192</v>
      </c>
      <c r="D81" s="156">
        <v>6551.5725433666903</v>
      </c>
      <c r="E81" s="155" t="s">
        <v>192</v>
      </c>
      <c r="F81" s="155">
        <v>365.89085469917001</v>
      </c>
      <c r="G81" s="156" t="s">
        <v>192</v>
      </c>
      <c r="H81" s="156">
        <v>137.02156908937201</v>
      </c>
      <c r="I81" s="155" t="s">
        <v>192</v>
      </c>
      <c r="J81" s="155">
        <v>615.52679904096897</v>
      </c>
      <c r="K81" s="156" t="s">
        <v>192</v>
      </c>
      <c r="L81" s="156">
        <v>25.9329010715044</v>
      </c>
      <c r="M81" s="155" t="s">
        <v>192</v>
      </c>
      <c r="N81" s="155">
        <v>51.6239630756615</v>
      </c>
      <c r="O81" s="154" t="s">
        <v>192</v>
      </c>
      <c r="P81" s="154">
        <v>516.62220373949003</v>
      </c>
      <c r="Q81" s="153" t="s">
        <v>192</v>
      </c>
      <c r="R81" s="153">
        <v>1088.53252876956</v>
      </c>
      <c r="S81" s="154" t="s">
        <v>192</v>
      </c>
      <c r="T81" s="154">
        <v>403.28208402769798</v>
      </c>
      <c r="U81" s="153" t="s">
        <v>192</v>
      </c>
      <c r="V81" s="153">
        <v>314.51190916390902</v>
      </c>
      <c r="W81" s="154" t="s">
        <v>192</v>
      </c>
      <c r="X81" s="154">
        <v>165.888126340714</v>
      </c>
      <c r="Y81" s="153" t="s">
        <v>192</v>
      </c>
      <c r="Z81" s="153">
        <v>166.78363980051799</v>
      </c>
      <c r="AA81" s="154" t="s">
        <v>192</v>
      </c>
      <c r="AB81" s="154">
        <v>83.473691930790395</v>
      </c>
      <c r="AC81" s="153" t="s">
        <v>192</v>
      </c>
      <c r="AD81" s="153">
        <v>313.63214237134798</v>
      </c>
      <c r="AE81" s="154" t="s">
        <v>192</v>
      </c>
      <c r="AF81" s="154">
        <v>455.40569605843399</v>
      </c>
      <c r="AG81" s="153" t="s">
        <v>192</v>
      </c>
      <c r="AH81" s="153">
        <v>587.04202602298301</v>
      </c>
      <c r="AI81" s="154" t="s">
        <v>192</v>
      </c>
      <c r="AJ81" s="154">
        <v>511.88300148422297</v>
      </c>
      <c r="AK81" s="153" t="s">
        <v>192</v>
      </c>
      <c r="AL81" s="153">
        <v>390.96104344257299</v>
      </c>
      <c r="AM81" s="154" t="s">
        <v>192</v>
      </c>
      <c r="AN81" s="154">
        <v>60.930914800484501</v>
      </c>
      <c r="AO81" s="153" t="s">
        <v>192</v>
      </c>
      <c r="AP81" s="153">
        <v>151.41521719128701</v>
      </c>
      <c r="AQ81" s="154" t="s">
        <v>192</v>
      </c>
      <c r="AR81" s="154">
        <v>133.46423763271699</v>
      </c>
      <c r="AS81" s="153" t="s">
        <v>211</v>
      </c>
      <c r="AT81" s="153">
        <v>0.84839695200062504</v>
      </c>
      <c r="AU81" s="154" t="s">
        <v>211</v>
      </c>
      <c r="AV81" s="154">
        <v>10.899596661283701</v>
      </c>
      <c r="AW81" s="153" t="s">
        <v>192</v>
      </c>
      <c r="AX81" s="153">
        <v>2456.97331242673</v>
      </c>
      <c r="AY81" s="154" t="s">
        <v>192</v>
      </c>
      <c r="AZ81" s="154">
        <v>244.20814019915801</v>
      </c>
      <c r="BA81" s="153" t="s">
        <v>211</v>
      </c>
      <c r="BB81" s="153">
        <v>5.2400545448660001</v>
      </c>
      <c r="BC81" s="154" t="s">
        <v>192</v>
      </c>
      <c r="BD81" s="154">
        <v>224.78618340323101</v>
      </c>
      <c r="BE81" s="153" t="s">
        <v>211</v>
      </c>
      <c r="BF81" s="153">
        <v>3.1147570933449602</v>
      </c>
      <c r="BG81" s="154" t="s">
        <v>211</v>
      </c>
      <c r="BH81" s="154">
        <v>10.265387565077299</v>
      </c>
      <c r="BI81" s="153" t="s">
        <v>192</v>
      </c>
      <c r="BJ81" s="153">
        <v>293.44982596816402</v>
      </c>
      <c r="BK81" s="154" t="s">
        <v>192</v>
      </c>
      <c r="BL81" s="154">
        <v>541.38729021051597</v>
      </c>
      <c r="BM81" s="153" t="s">
        <v>192</v>
      </c>
      <c r="BN81" s="153">
        <v>179.23408786677101</v>
      </c>
      <c r="BO81" s="154" t="s">
        <v>192</v>
      </c>
      <c r="BP81" s="154">
        <v>140.50306088024601</v>
      </c>
      <c r="BQ81" s="153" t="s">
        <v>211</v>
      </c>
      <c r="BR81" s="153">
        <v>16.8935151417828</v>
      </c>
      <c r="BS81" s="154" t="s">
        <v>211</v>
      </c>
      <c r="BT81" s="154">
        <v>6.8429366809798102</v>
      </c>
      <c r="BU81" s="153" t="s">
        <v>211</v>
      </c>
      <c r="BV81" s="153">
        <v>8.4891110157371692</v>
      </c>
      <c r="BW81" s="154" t="s">
        <v>192</v>
      </c>
      <c r="BX81" s="154">
        <v>39.662703829826803</v>
      </c>
      <c r="BY81" s="153" t="s">
        <v>192</v>
      </c>
      <c r="BZ81" s="153">
        <v>132.58368677189699</v>
      </c>
      <c r="CA81" s="154" t="s">
        <v>192</v>
      </c>
      <c r="CB81" s="154">
        <v>96.094807341659006</v>
      </c>
      <c r="CC81" s="153" t="s">
        <v>192</v>
      </c>
      <c r="CD81" s="153">
        <v>52.188582100607697</v>
      </c>
      <c r="CE81" s="154" t="s">
        <v>192</v>
      </c>
      <c r="CF81" s="154">
        <v>104.053884658795</v>
      </c>
      <c r="CG81" s="153" t="s">
        <v>192</v>
      </c>
      <c r="CH81" s="153">
        <v>33.566459070173401</v>
      </c>
      <c r="CI81" s="154" t="s">
        <v>192</v>
      </c>
      <c r="CJ81" s="154">
        <v>159.004910823063</v>
      </c>
      <c r="CK81" s="153" t="s">
        <v>192</v>
      </c>
      <c r="CL81" s="153">
        <v>155.47202844967799</v>
      </c>
      <c r="CM81" s="154" t="s">
        <v>211</v>
      </c>
      <c r="CN81" s="154">
        <v>0</v>
      </c>
      <c r="CO81" s="153" t="s">
        <v>211</v>
      </c>
      <c r="CP81" s="153">
        <v>9.9318988111533901</v>
      </c>
    </row>
    <row r="82" spans="1:94" x14ac:dyDescent="0.2">
      <c r="A82" s="107">
        <v>2023</v>
      </c>
      <c r="B82" s="106" t="s">
        <v>163</v>
      </c>
      <c r="C82" s="156" t="s">
        <v>192</v>
      </c>
      <c r="D82" s="156">
        <v>6563.7295069834299</v>
      </c>
      <c r="E82" s="155" t="s">
        <v>192</v>
      </c>
      <c r="F82" s="155">
        <v>366.19429947835999</v>
      </c>
      <c r="G82" s="156" t="s">
        <v>192</v>
      </c>
      <c r="H82" s="156">
        <v>131.88799951692201</v>
      </c>
      <c r="I82" s="155" t="s">
        <v>192</v>
      </c>
      <c r="J82" s="155">
        <v>634.10915518989998</v>
      </c>
      <c r="K82" s="156" t="s">
        <v>192</v>
      </c>
      <c r="L82" s="156">
        <v>27.760825785640598</v>
      </c>
      <c r="M82" s="155" t="s">
        <v>192</v>
      </c>
      <c r="N82" s="155">
        <v>47.586986637777002</v>
      </c>
      <c r="O82" s="154" t="s">
        <v>192</v>
      </c>
      <c r="P82" s="154">
        <v>526.07314296020002</v>
      </c>
      <c r="Q82" s="153" t="s">
        <v>192</v>
      </c>
      <c r="R82" s="153">
        <v>1082.5344982132799</v>
      </c>
      <c r="S82" s="154" t="s">
        <v>192</v>
      </c>
      <c r="T82" s="154">
        <v>386.62289883658701</v>
      </c>
      <c r="U82" s="153" t="s">
        <v>192</v>
      </c>
      <c r="V82" s="153">
        <v>306.93790171737101</v>
      </c>
      <c r="W82" s="154" t="s">
        <v>192</v>
      </c>
      <c r="X82" s="154">
        <v>177.17393374676701</v>
      </c>
      <c r="Y82" s="153" t="s">
        <v>192</v>
      </c>
      <c r="Z82" s="153">
        <v>167.15460968929301</v>
      </c>
      <c r="AA82" s="154" t="s">
        <v>192</v>
      </c>
      <c r="AB82" s="154">
        <v>78.695572298467795</v>
      </c>
      <c r="AC82" s="153" t="s">
        <v>192</v>
      </c>
      <c r="AD82" s="153">
        <v>297.91962623951503</v>
      </c>
      <c r="AE82" s="154" t="s">
        <v>192</v>
      </c>
      <c r="AF82" s="154">
        <v>454.63893641476102</v>
      </c>
      <c r="AG82" s="153" t="s">
        <v>192</v>
      </c>
      <c r="AH82" s="153">
        <v>608.28374606591001</v>
      </c>
      <c r="AI82" s="154" t="s">
        <v>192</v>
      </c>
      <c r="AJ82" s="154">
        <v>501.108012630166</v>
      </c>
      <c r="AK82" s="153" t="s">
        <v>192</v>
      </c>
      <c r="AL82" s="153">
        <v>423.17733935780001</v>
      </c>
      <c r="AM82" s="154" t="s">
        <v>192</v>
      </c>
      <c r="AN82" s="154">
        <v>57.423535333891799</v>
      </c>
      <c r="AO82" s="153" t="s">
        <v>192</v>
      </c>
      <c r="AP82" s="153">
        <v>157.684140715517</v>
      </c>
      <c r="AQ82" s="154" t="s">
        <v>192</v>
      </c>
      <c r="AR82" s="154">
        <v>113.181145422703</v>
      </c>
      <c r="AS82" s="153" t="s">
        <v>211</v>
      </c>
      <c r="AT82" s="153">
        <v>1.69473750920735</v>
      </c>
      <c r="AU82" s="154" t="s">
        <v>211</v>
      </c>
      <c r="AV82" s="154">
        <v>15.8864632233925</v>
      </c>
      <c r="AW82" s="153" t="s">
        <v>192</v>
      </c>
      <c r="AX82" s="153">
        <v>2466.4320842275602</v>
      </c>
      <c r="AY82" s="154" t="s">
        <v>192</v>
      </c>
      <c r="AZ82" s="154">
        <v>244.84367305017599</v>
      </c>
      <c r="BA82" s="153" t="s">
        <v>211</v>
      </c>
      <c r="BB82" s="153">
        <v>5.0410146433781096</v>
      </c>
      <c r="BC82" s="154" t="s">
        <v>192</v>
      </c>
      <c r="BD82" s="154">
        <v>222.24836837452901</v>
      </c>
      <c r="BE82" s="153" t="s">
        <v>211</v>
      </c>
      <c r="BF82" s="153">
        <v>2.80560519522425</v>
      </c>
      <c r="BG82" s="154" t="s">
        <v>211</v>
      </c>
      <c r="BH82" s="154">
        <v>11.5357238612362</v>
      </c>
      <c r="BI82" s="153" t="s">
        <v>192</v>
      </c>
      <c r="BJ82" s="153">
        <v>290.169788734647</v>
      </c>
      <c r="BK82" s="154" t="s">
        <v>192</v>
      </c>
      <c r="BL82" s="154">
        <v>526.80237711910502</v>
      </c>
      <c r="BM82" s="153" t="s">
        <v>192</v>
      </c>
      <c r="BN82" s="153">
        <v>173.84918675037099</v>
      </c>
      <c r="BO82" s="154" t="s">
        <v>192</v>
      </c>
      <c r="BP82" s="154">
        <v>155.31808942148999</v>
      </c>
      <c r="BQ82" s="153" t="s">
        <v>211</v>
      </c>
      <c r="BR82" s="153">
        <v>12.4206741181365</v>
      </c>
      <c r="BS82" s="154" t="s">
        <v>211</v>
      </c>
      <c r="BT82" s="154">
        <v>5.4487599414391097</v>
      </c>
      <c r="BU82" s="153" t="s">
        <v>211</v>
      </c>
      <c r="BV82" s="153">
        <v>10.546659547599299</v>
      </c>
      <c r="BW82" s="154" t="s">
        <v>192</v>
      </c>
      <c r="BX82" s="154">
        <v>39.334585818322402</v>
      </c>
      <c r="BY82" s="153" t="s">
        <v>192</v>
      </c>
      <c r="BZ82" s="153">
        <v>137.258730943317</v>
      </c>
      <c r="CA82" s="154" t="s">
        <v>192</v>
      </c>
      <c r="CB82" s="154">
        <v>97.879209168854203</v>
      </c>
      <c r="CC82" s="153" t="s">
        <v>192</v>
      </c>
      <c r="CD82" s="153">
        <v>49.580620473820403</v>
      </c>
      <c r="CE82" s="154" t="s">
        <v>192</v>
      </c>
      <c r="CF82" s="154">
        <v>105.513177116767</v>
      </c>
      <c r="CG82" s="153" t="s">
        <v>192</v>
      </c>
      <c r="CH82" s="153">
        <v>38.194553631679398</v>
      </c>
      <c r="CI82" s="154" t="s">
        <v>192</v>
      </c>
      <c r="CJ82" s="154">
        <v>176.80932932215799</v>
      </c>
      <c r="CK82" s="153" t="s">
        <v>192</v>
      </c>
      <c r="CL82" s="153">
        <v>149.93271568566999</v>
      </c>
      <c r="CM82" s="154" t="s">
        <v>211</v>
      </c>
      <c r="CN82" s="154">
        <v>0</v>
      </c>
      <c r="CO82" s="153" t="s">
        <v>211</v>
      </c>
      <c r="CP82" s="153">
        <v>10.899241309634499</v>
      </c>
    </row>
    <row r="83" spans="1:94" x14ac:dyDescent="0.2">
      <c r="A83" s="107">
        <v>2023</v>
      </c>
      <c r="B83" s="106" t="s">
        <v>162</v>
      </c>
      <c r="C83" s="156" t="s">
        <v>192</v>
      </c>
      <c r="D83" s="156">
        <v>6534.0863899379601</v>
      </c>
      <c r="E83" s="155" t="s">
        <v>192</v>
      </c>
      <c r="F83" s="155">
        <v>347.19390649274197</v>
      </c>
      <c r="G83" s="156" t="s">
        <v>192</v>
      </c>
      <c r="H83" s="156">
        <v>132.97147073539</v>
      </c>
      <c r="I83" s="155" t="s">
        <v>192</v>
      </c>
      <c r="J83" s="155">
        <v>633.58433234242295</v>
      </c>
      <c r="K83" s="156" t="s">
        <v>192</v>
      </c>
      <c r="L83" s="156">
        <v>28.494319907154299</v>
      </c>
      <c r="M83" s="155" t="s">
        <v>192</v>
      </c>
      <c r="N83" s="155">
        <v>49.240265254939601</v>
      </c>
      <c r="O83" s="154" t="s">
        <v>192</v>
      </c>
      <c r="P83" s="154">
        <v>529.45939785379403</v>
      </c>
      <c r="Q83" s="153" t="s">
        <v>192</v>
      </c>
      <c r="R83" s="153">
        <v>1105.7326134653399</v>
      </c>
      <c r="S83" s="154" t="s">
        <v>192</v>
      </c>
      <c r="T83" s="154">
        <v>388.26881577274702</v>
      </c>
      <c r="U83" s="153" t="s">
        <v>192</v>
      </c>
      <c r="V83" s="153">
        <v>307.998770314144</v>
      </c>
      <c r="W83" s="154" t="s">
        <v>192</v>
      </c>
      <c r="X83" s="154">
        <v>174.084818459096</v>
      </c>
      <c r="Y83" s="153" t="s">
        <v>192</v>
      </c>
      <c r="Z83" s="153">
        <v>165.240154140415</v>
      </c>
      <c r="AA83" s="154" t="s">
        <v>192</v>
      </c>
      <c r="AB83" s="154">
        <v>66.126305243386497</v>
      </c>
      <c r="AC83" s="153" t="s">
        <v>192</v>
      </c>
      <c r="AD83" s="153">
        <v>295.94567370174599</v>
      </c>
      <c r="AE83" s="154" t="s">
        <v>192</v>
      </c>
      <c r="AF83" s="154">
        <v>432.40505976105999</v>
      </c>
      <c r="AG83" s="153" t="s">
        <v>192</v>
      </c>
      <c r="AH83" s="153">
        <v>610.31254742718795</v>
      </c>
      <c r="AI83" s="154" t="s">
        <v>192</v>
      </c>
      <c r="AJ83" s="154">
        <v>495.49954296251298</v>
      </c>
      <c r="AK83" s="153" t="s">
        <v>192</v>
      </c>
      <c r="AL83" s="153">
        <v>434.06093612324798</v>
      </c>
      <c r="AM83" s="154" t="s">
        <v>192</v>
      </c>
      <c r="AN83" s="154">
        <v>58.971269776499497</v>
      </c>
      <c r="AO83" s="153" t="s">
        <v>192</v>
      </c>
      <c r="AP83" s="153">
        <v>150.72247901813799</v>
      </c>
      <c r="AQ83" s="154" t="s">
        <v>192</v>
      </c>
      <c r="AR83" s="154">
        <v>107.85029650880701</v>
      </c>
      <c r="AS83" s="153" t="s">
        <v>211</v>
      </c>
      <c r="AT83" s="153">
        <v>3.2415026631053299</v>
      </c>
      <c r="AU83" s="154" t="s">
        <v>211</v>
      </c>
      <c r="AV83" s="154">
        <v>16.6819120140824</v>
      </c>
      <c r="AW83" s="153" t="s">
        <v>192</v>
      </c>
      <c r="AX83" s="153">
        <v>2472.0586181888698</v>
      </c>
      <c r="AY83" s="154" t="s">
        <v>192</v>
      </c>
      <c r="AZ83" s="154">
        <v>252.25460400918701</v>
      </c>
      <c r="BA83" s="153" t="s">
        <v>211</v>
      </c>
      <c r="BB83" s="153">
        <v>4.4576443463043196</v>
      </c>
      <c r="BC83" s="154" t="s">
        <v>192</v>
      </c>
      <c r="BD83" s="154">
        <v>223.92848907345001</v>
      </c>
      <c r="BE83" s="153" t="s">
        <v>211</v>
      </c>
      <c r="BF83" s="153">
        <v>1.8519590669577899</v>
      </c>
      <c r="BG83" s="154" t="s">
        <v>211</v>
      </c>
      <c r="BH83" s="154">
        <v>9.5222289436807497</v>
      </c>
      <c r="BI83" s="153" t="s">
        <v>192</v>
      </c>
      <c r="BJ83" s="153">
        <v>295.25278033115501</v>
      </c>
      <c r="BK83" s="154" t="s">
        <v>192</v>
      </c>
      <c r="BL83" s="154">
        <v>523.63057941401803</v>
      </c>
      <c r="BM83" s="153" t="s">
        <v>192</v>
      </c>
      <c r="BN83" s="153">
        <v>178.32507518156299</v>
      </c>
      <c r="BO83" s="154" t="s">
        <v>192</v>
      </c>
      <c r="BP83" s="154">
        <v>149.10800463333601</v>
      </c>
      <c r="BQ83" s="153" t="s">
        <v>211</v>
      </c>
      <c r="BR83" s="153">
        <v>15.492654849305801</v>
      </c>
      <c r="BS83" s="154" t="s">
        <v>211</v>
      </c>
      <c r="BT83" s="154">
        <v>5.9480171407339304</v>
      </c>
      <c r="BU83" s="153" t="s">
        <v>211</v>
      </c>
      <c r="BV83" s="153">
        <v>13.7493428521003</v>
      </c>
      <c r="BW83" s="154" t="s">
        <v>192</v>
      </c>
      <c r="BX83" s="154">
        <v>42.685318616391299</v>
      </c>
      <c r="BY83" s="153" t="s">
        <v>192</v>
      </c>
      <c r="BZ83" s="153">
        <v>131.92472363781499</v>
      </c>
      <c r="CA83" s="154" t="s">
        <v>192</v>
      </c>
      <c r="CB83" s="154">
        <v>92.303729613630395</v>
      </c>
      <c r="CC83" s="153" t="s">
        <v>192</v>
      </c>
      <c r="CD83" s="153">
        <v>48.045090879927997</v>
      </c>
      <c r="CE83" s="154" t="s">
        <v>192</v>
      </c>
      <c r="CF83" s="154">
        <v>107.556747698584</v>
      </c>
      <c r="CG83" s="153" t="s">
        <v>192</v>
      </c>
      <c r="CH83" s="153">
        <v>41.432575042480799</v>
      </c>
      <c r="CI83" s="154" t="s">
        <v>192</v>
      </c>
      <c r="CJ83" s="154">
        <v>183.28392165600201</v>
      </c>
      <c r="CK83" s="153" t="s">
        <v>192</v>
      </c>
      <c r="CL83" s="153">
        <v>136.76671028536799</v>
      </c>
      <c r="CM83" s="154" t="s">
        <v>211</v>
      </c>
      <c r="CN83" s="154">
        <v>0</v>
      </c>
      <c r="CO83" s="153" t="s">
        <v>211</v>
      </c>
      <c r="CP83" s="153">
        <v>14.5384209168787</v>
      </c>
    </row>
    <row r="84" spans="1:94" x14ac:dyDescent="0.2">
      <c r="A84" s="107">
        <v>2023</v>
      </c>
      <c r="B84" s="106" t="s">
        <v>173</v>
      </c>
      <c r="C84" s="156" t="s">
        <v>192</v>
      </c>
      <c r="D84" s="156">
        <v>6542.7480282000197</v>
      </c>
      <c r="E84" s="155" t="s">
        <v>192</v>
      </c>
      <c r="F84" s="155">
        <v>339.62577570265103</v>
      </c>
      <c r="G84" s="156" t="s">
        <v>192</v>
      </c>
      <c r="H84" s="156">
        <v>137.10468012134501</v>
      </c>
      <c r="I84" s="155" t="s">
        <v>192</v>
      </c>
      <c r="J84" s="155">
        <v>639.34541076727999</v>
      </c>
      <c r="K84" s="156" t="s">
        <v>192</v>
      </c>
      <c r="L84" s="156">
        <v>30.657335174632401</v>
      </c>
      <c r="M84" s="155" t="s">
        <v>192</v>
      </c>
      <c r="N84" s="155">
        <v>52.019375957981197</v>
      </c>
      <c r="O84" s="154" t="s">
        <v>192</v>
      </c>
      <c r="P84" s="154">
        <v>520.85426866076705</v>
      </c>
      <c r="Q84" s="153" t="s">
        <v>192</v>
      </c>
      <c r="R84" s="153">
        <v>1107.3487629055701</v>
      </c>
      <c r="S84" s="154" t="s">
        <v>192</v>
      </c>
      <c r="T84" s="154">
        <v>404.972512913336</v>
      </c>
      <c r="U84" s="153" t="s">
        <v>192</v>
      </c>
      <c r="V84" s="153">
        <v>298.89207795158001</v>
      </c>
      <c r="W84" s="154" t="s">
        <v>192</v>
      </c>
      <c r="X84" s="154">
        <v>177.883568024738</v>
      </c>
      <c r="Y84" s="153" t="s">
        <v>192</v>
      </c>
      <c r="Z84" s="153">
        <v>166.610782429761</v>
      </c>
      <c r="AA84" s="154" t="s">
        <v>192</v>
      </c>
      <c r="AB84" s="154">
        <v>62.172262018336298</v>
      </c>
      <c r="AC84" s="153" t="s">
        <v>192</v>
      </c>
      <c r="AD84" s="153">
        <v>289.399154629051</v>
      </c>
      <c r="AE84" s="154" t="s">
        <v>192</v>
      </c>
      <c r="AF84" s="154">
        <v>422.05850325718899</v>
      </c>
      <c r="AG84" s="153" t="s">
        <v>192</v>
      </c>
      <c r="AH84" s="153">
        <v>608.55851350984199</v>
      </c>
      <c r="AI84" s="154" t="s">
        <v>192</v>
      </c>
      <c r="AJ84" s="154">
        <v>503.60175372896299</v>
      </c>
      <c r="AK84" s="153" t="s">
        <v>192</v>
      </c>
      <c r="AL84" s="153">
        <v>449.95249106883898</v>
      </c>
      <c r="AM84" s="154" t="s">
        <v>192</v>
      </c>
      <c r="AN84" s="154">
        <v>48.802762717746198</v>
      </c>
      <c r="AO84" s="153" t="s">
        <v>192</v>
      </c>
      <c r="AP84" s="153">
        <v>153.48439319300701</v>
      </c>
      <c r="AQ84" s="154" t="s">
        <v>192</v>
      </c>
      <c r="AR84" s="154">
        <v>106.427608838373</v>
      </c>
      <c r="AS84" s="153" t="s">
        <v>211</v>
      </c>
      <c r="AT84" s="153">
        <v>3.7775809318688802</v>
      </c>
      <c r="AU84" s="154" t="s">
        <v>211</v>
      </c>
      <c r="AV84" s="154">
        <v>19.198453697160399</v>
      </c>
      <c r="AW84" s="153" t="s">
        <v>192</v>
      </c>
      <c r="AX84" s="153">
        <v>2463.98108596661</v>
      </c>
      <c r="AY84" s="154" t="s">
        <v>192</v>
      </c>
      <c r="AZ84" s="154">
        <v>235.049737930627</v>
      </c>
      <c r="BA84" s="153" t="s">
        <v>211</v>
      </c>
      <c r="BB84" s="153">
        <v>5.0120383755719899</v>
      </c>
      <c r="BC84" s="154" t="s">
        <v>192</v>
      </c>
      <c r="BD84" s="154">
        <v>218.06267920229899</v>
      </c>
      <c r="BE84" s="153" t="s">
        <v>211</v>
      </c>
      <c r="BF84" s="153">
        <v>2.3085833578974202</v>
      </c>
      <c r="BG84" s="154" t="s">
        <v>211</v>
      </c>
      <c r="BH84" s="154">
        <v>10.7210828293655</v>
      </c>
      <c r="BI84" s="153" t="s">
        <v>192</v>
      </c>
      <c r="BJ84" s="153">
        <v>305.02102037911499</v>
      </c>
      <c r="BK84" s="154" t="s">
        <v>192</v>
      </c>
      <c r="BL84" s="154">
        <v>517.58653015667903</v>
      </c>
      <c r="BM84" s="153" t="s">
        <v>192</v>
      </c>
      <c r="BN84" s="153">
        <v>181.50108392466399</v>
      </c>
      <c r="BO84" s="154" t="s">
        <v>192</v>
      </c>
      <c r="BP84" s="154">
        <v>155.175596304446</v>
      </c>
      <c r="BQ84" s="153" t="s">
        <v>211</v>
      </c>
      <c r="BR84" s="153">
        <v>17.040824442021901</v>
      </c>
      <c r="BS84" s="154" t="s">
        <v>211</v>
      </c>
      <c r="BT84" s="154">
        <v>4.9818555883895197</v>
      </c>
      <c r="BU84" s="153" t="s">
        <v>211</v>
      </c>
      <c r="BV84" s="153">
        <v>16.984769196709902</v>
      </c>
      <c r="BW84" s="154" t="s">
        <v>192</v>
      </c>
      <c r="BX84" s="154">
        <v>41.165603867877799</v>
      </c>
      <c r="BY84" s="153" t="s">
        <v>192</v>
      </c>
      <c r="BZ84" s="153">
        <v>131.732898247235</v>
      </c>
      <c r="CA84" s="154" t="s">
        <v>192</v>
      </c>
      <c r="CB84" s="154">
        <v>84.526530173342806</v>
      </c>
      <c r="CC84" s="153" t="s">
        <v>192</v>
      </c>
      <c r="CD84" s="153">
        <v>56.565853365557899</v>
      </c>
      <c r="CE84" s="154" t="s">
        <v>192</v>
      </c>
      <c r="CF84" s="154">
        <v>107.74099045336</v>
      </c>
      <c r="CG84" s="153" t="s">
        <v>192</v>
      </c>
      <c r="CH84" s="153">
        <v>38.5625764794651</v>
      </c>
      <c r="CI84" s="154" t="s">
        <v>192</v>
      </c>
      <c r="CJ84" s="154">
        <v>176.98045543778801</v>
      </c>
      <c r="CK84" s="153" t="s">
        <v>192</v>
      </c>
      <c r="CL84" s="153">
        <v>142.84206022623599</v>
      </c>
      <c r="CM84" s="154" t="s">
        <v>211</v>
      </c>
      <c r="CN84" s="154">
        <v>0</v>
      </c>
      <c r="CO84" s="153" t="s">
        <v>211</v>
      </c>
      <c r="CP84" s="153">
        <v>14.418316027958801</v>
      </c>
    </row>
    <row r="85" spans="1:94" x14ac:dyDescent="0.2">
      <c r="A85" s="107">
        <v>2023</v>
      </c>
      <c r="B85" s="106" t="s">
        <v>172</v>
      </c>
      <c r="C85" s="156" t="s">
        <v>192</v>
      </c>
      <c r="D85" s="156">
        <v>6560.2636063590999</v>
      </c>
      <c r="E85" s="155" t="s">
        <v>192</v>
      </c>
      <c r="F85" s="155">
        <v>306.52460017443099</v>
      </c>
      <c r="G85" s="156" t="s">
        <v>192</v>
      </c>
      <c r="H85" s="156">
        <v>136.452097733523</v>
      </c>
      <c r="I85" s="155" t="s">
        <v>192</v>
      </c>
      <c r="J85" s="155">
        <v>643.10493367601202</v>
      </c>
      <c r="K85" s="156" t="s">
        <v>192</v>
      </c>
      <c r="L85" s="156">
        <v>29.7484735099296</v>
      </c>
      <c r="M85" s="155" t="s">
        <v>192</v>
      </c>
      <c r="N85" s="155">
        <v>51.731407745974899</v>
      </c>
      <c r="O85" s="154" t="s">
        <v>192</v>
      </c>
      <c r="P85" s="154">
        <v>520.87785313615802</v>
      </c>
      <c r="Q85" s="153" t="s">
        <v>192</v>
      </c>
      <c r="R85" s="153">
        <v>1141.6370126924301</v>
      </c>
      <c r="S85" s="154" t="s">
        <v>192</v>
      </c>
      <c r="T85" s="154">
        <v>412.61359754057901</v>
      </c>
      <c r="U85" s="153" t="s">
        <v>192</v>
      </c>
      <c r="V85" s="153">
        <v>295.94370351971099</v>
      </c>
      <c r="W85" s="154" t="s">
        <v>192</v>
      </c>
      <c r="X85" s="154">
        <v>178.56968487908</v>
      </c>
      <c r="Y85" s="153" t="s">
        <v>192</v>
      </c>
      <c r="Z85" s="153">
        <v>162.50422722035</v>
      </c>
      <c r="AA85" s="154" t="s">
        <v>192</v>
      </c>
      <c r="AB85" s="154">
        <v>63.857545852480698</v>
      </c>
      <c r="AC85" s="153" t="s">
        <v>192</v>
      </c>
      <c r="AD85" s="153">
        <v>287.78144290504798</v>
      </c>
      <c r="AE85" s="154" t="s">
        <v>192</v>
      </c>
      <c r="AF85" s="154">
        <v>435.158927734857</v>
      </c>
      <c r="AG85" s="153" t="s">
        <v>192</v>
      </c>
      <c r="AH85" s="153">
        <v>606.93872866442905</v>
      </c>
      <c r="AI85" s="154" t="s">
        <v>192</v>
      </c>
      <c r="AJ85" s="154">
        <v>510.12679175036698</v>
      </c>
      <c r="AK85" s="153" t="s">
        <v>192</v>
      </c>
      <c r="AL85" s="153">
        <v>443.05938796035599</v>
      </c>
      <c r="AM85" s="154" t="s">
        <v>192</v>
      </c>
      <c r="AN85" s="154">
        <v>53.145095749850803</v>
      </c>
      <c r="AO85" s="153" t="s">
        <v>192</v>
      </c>
      <c r="AP85" s="153">
        <v>149.554978066427</v>
      </c>
      <c r="AQ85" s="154" t="s">
        <v>192</v>
      </c>
      <c r="AR85" s="154">
        <v>111.69405811852801</v>
      </c>
      <c r="AS85" s="153" t="s">
        <v>211</v>
      </c>
      <c r="AT85" s="153">
        <v>3.8213268612303999</v>
      </c>
      <c r="AU85" s="154" t="s">
        <v>211</v>
      </c>
      <c r="AV85" s="154">
        <v>15.417730867348</v>
      </c>
      <c r="AW85" s="153" t="s">
        <v>192</v>
      </c>
      <c r="AX85" s="153">
        <v>2473.9671864820998</v>
      </c>
      <c r="AY85" s="154" t="s">
        <v>192</v>
      </c>
      <c r="AZ85" s="154">
        <v>229.40123509890699</v>
      </c>
      <c r="BA85" s="153" t="s">
        <v>211</v>
      </c>
      <c r="BB85" s="153">
        <v>5.19245773516458</v>
      </c>
      <c r="BC85" s="154" t="s">
        <v>192</v>
      </c>
      <c r="BD85" s="154">
        <v>222.00783825287101</v>
      </c>
      <c r="BE85" s="153" t="s">
        <v>211</v>
      </c>
      <c r="BF85" s="153">
        <v>2.4627378247201102</v>
      </c>
      <c r="BG85" s="154" t="s">
        <v>211</v>
      </c>
      <c r="BH85" s="154">
        <v>9.7445377770987704</v>
      </c>
      <c r="BI85" s="153" t="s">
        <v>192</v>
      </c>
      <c r="BJ85" s="153">
        <v>302.714022767421</v>
      </c>
      <c r="BK85" s="154" t="s">
        <v>192</v>
      </c>
      <c r="BL85" s="154">
        <v>544.11718694742899</v>
      </c>
      <c r="BM85" s="153" t="s">
        <v>192</v>
      </c>
      <c r="BN85" s="153">
        <v>186.731938947104</v>
      </c>
      <c r="BO85" s="154" t="s">
        <v>192</v>
      </c>
      <c r="BP85" s="154">
        <v>154.97475805863101</v>
      </c>
      <c r="BQ85" s="153" t="s">
        <v>212</v>
      </c>
      <c r="BR85" s="153">
        <v>17.707268832226401</v>
      </c>
      <c r="BS85" s="154" t="s">
        <v>211</v>
      </c>
      <c r="BT85" s="154">
        <v>5.5851917563006497</v>
      </c>
      <c r="BU85" s="153" t="s">
        <v>211</v>
      </c>
      <c r="BV85" s="153">
        <v>11.636181069464399</v>
      </c>
      <c r="BW85" s="154" t="s">
        <v>192</v>
      </c>
      <c r="BX85" s="154">
        <v>46.356946137961501</v>
      </c>
      <c r="BY85" s="153" t="s">
        <v>192</v>
      </c>
      <c r="BZ85" s="153">
        <v>130.63553959982801</v>
      </c>
      <c r="CA85" s="154" t="s">
        <v>192</v>
      </c>
      <c r="CB85" s="154">
        <v>85.934028501055394</v>
      </c>
      <c r="CC85" s="153" t="s">
        <v>192</v>
      </c>
      <c r="CD85" s="153">
        <v>62.536105148491501</v>
      </c>
      <c r="CE85" s="154" t="s">
        <v>192</v>
      </c>
      <c r="CF85" s="154">
        <v>102.227233506096</v>
      </c>
      <c r="CG85" s="153" t="s">
        <v>192</v>
      </c>
      <c r="CH85" s="153">
        <v>35.401236836480699</v>
      </c>
      <c r="CI85" s="154" t="s">
        <v>192</v>
      </c>
      <c r="CJ85" s="154">
        <v>158.49516435501101</v>
      </c>
      <c r="CK85" s="153" t="s">
        <v>192</v>
      </c>
      <c r="CL85" s="153">
        <v>149.244731801955</v>
      </c>
      <c r="CM85" s="154" t="s">
        <v>211</v>
      </c>
      <c r="CN85" s="154">
        <v>0.42725249673954802</v>
      </c>
      <c r="CO85" s="153" t="s">
        <v>211</v>
      </c>
      <c r="CP85" s="153">
        <v>10.4335930311426</v>
      </c>
    </row>
    <row r="86" spans="1:94" x14ac:dyDescent="0.2">
      <c r="A86" s="107">
        <v>2023</v>
      </c>
      <c r="B86" s="106" t="s">
        <v>171</v>
      </c>
      <c r="C86" s="156" t="s">
        <v>192</v>
      </c>
      <c r="D86" s="156">
        <v>6579.7971985540398</v>
      </c>
      <c r="E86" s="155" t="s">
        <v>192</v>
      </c>
      <c r="F86" s="155">
        <v>292.50841843088</v>
      </c>
      <c r="G86" s="156" t="s">
        <v>192</v>
      </c>
      <c r="H86" s="156">
        <v>139.47615284035899</v>
      </c>
      <c r="I86" s="155" t="s">
        <v>192</v>
      </c>
      <c r="J86" s="155">
        <v>647.79226157361097</v>
      </c>
      <c r="K86" s="156" t="s">
        <v>192</v>
      </c>
      <c r="L86" s="156">
        <v>36.5545150613613</v>
      </c>
      <c r="M86" s="155" t="s">
        <v>192</v>
      </c>
      <c r="N86" s="155">
        <v>54.6754032517455</v>
      </c>
      <c r="O86" s="154" t="s">
        <v>192</v>
      </c>
      <c r="P86" s="154">
        <v>506.68023862170799</v>
      </c>
      <c r="Q86" s="153" t="s">
        <v>192</v>
      </c>
      <c r="R86" s="153">
        <v>1122.52641743664</v>
      </c>
      <c r="S86" s="154" t="s">
        <v>192</v>
      </c>
      <c r="T86" s="154">
        <v>401.305120792254</v>
      </c>
      <c r="U86" s="153" t="s">
        <v>192</v>
      </c>
      <c r="V86" s="153">
        <v>300.25854693892398</v>
      </c>
      <c r="W86" s="154" t="s">
        <v>192</v>
      </c>
      <c r="X86" s="154">
        <v>182.65940629465399</v>
      </c>
      <c r="Y86" s="153" t="s">
        <v>192</v>
      </c>
      <c r="Z86" s="153">
        <v>167.700242545577</v>
      </c>
      <c r="AA86" s="154" t="s">
        <v>192</v>
      </c>
      <c r="AB86" s="154">
        <v>64.456601534884896</v>
      </c>
      <c r="AC86" s="153" t="s">
        <v>192</v>
      </c>
      <c r="AD86" s="153">
        <v>300.87539912448301</v>
      </c>
      <c r="AE86" s="154" t="s">
        <v>192</v>
      </c>
      <c r="AF86" s="154">
        <v>438.52415776404399</v>
      </c>
      <c r="AG86" s="153" t="s">
        <v>192</v>
      </c>
      <c r="AH86" s="153">
        <v>628.17502583394696</v>
      </c>
      <c r="AI86" s="154" t="s">
        <v>192</v>
      </c>
      <c r="AJ86" s="154">
        <v>521.99090601754494</v>
      </c>
      <c r="AK86" s="153" t="s">
        <v>192</v>
      </c>
      <c r="AL86" s="153">
        <v>439.79316310561899</v>
      </c>
      <c r="AM86" s="154" t="s">
        <v>192</v>
      </c>
      <c r="AN86" s="154">
        <v>54.7243233753114</v>
      </c>
      <c r="AO86" s="153" t="s">
        <v>192</v>
      </c>
      <c r="AP86" s="153">
        <v>152.71021039806001</v>
      </c>
      <c r="AQ86" s="154" t="s">
        <v>192</v>
      </c>
      <c r="AR86" s="154">
        <v>105.879735344599</v>
      </c>
      <c r="AS86" s="153" t="s">
        <v>211</v>
      </c>
      <c r="AT86" s="153">
        <v>2.5972172407821601</v>
      </c>
      <c r="AU86" s="154" t="s">
        <v>192</v>
      </c>
      <c r="AV86" s="154">
        <v>17.9337350270477</v>
      </c>
      <c r="AW86" s="153" t="s">
        <v>192</v>
      </c>
      <c r="AX86" s="153">
        <v>2455.3167849632</v>
      </c>
      <c r="AY86" s="154" t="s">
        <v>192</v>
      </c>
      <c r="AZ86" s="154">
        <v>203.92073404579199</v>
      </c>
      <c r="BA86" s="153" t="s">
        <v>211</v>
      </c>
      <c r="BB86" s="153">
        <v>6.0946036803208097</v>
      </c>
      <c r="BC86" s="154" t="s">
        <v>192</v>
      </c>
      <c r="BD86" s="154">
        <v>217.00133098076901</v>
      </c>
      <c r="BE86" s="153" t="s">
        <v>211</v>
      </c>
      <c r="BF86" s="153">
        <v>2.66299739169503</v>
      </c>
      <c r="BG86" s="154" t="s">
        <v>211</v>
      </c>
      <c r="BH86" s="154">
        <v>10.051876850447</v>
      </c>
      <c r="BI86" s="153" t="s">
        <v>192</v>
      </c>
      <c r="BJ86" s="153">
        <v>299.15553474874002</v>
      </c>
      <c r="BK86" s="154" t="s">
        <v>192</v>
      </c>
      <c r="BL86" s="154">
        <v>550.39537082029199</v>
      </c>
      <c r="BM86" s="153" t="s">
        <v>192</v>
      </c>
      <c r="BN86" s="153">
        <v>179.48948202550599</v>
      </c>
      <c r="BO86" s="154" t="s">
        <v>192</v>
      </c>
      <c r="BP86" s="154">
        <v>152.21468681978601</v>
      </c>
      <c r="BQ86" s="153" t="s">
        <v>212</v>
      </c>
      <c r="BR86" s="153">
        <v>19.672277366787501</v>
      </c>
      <c r="BS86" s="154" t="s">
        <v>211</v>
      </c>
      <c r="BT86" s="154">
        <v>6.1798246436350599</v>
      </c>
      <c r="BU86" s="153" t="s">
        <v>211</v>
      </c>
      <c r="BV86" s="153">
        <v>11.983179879015699</v>
      </c>
      <c r="BW86" s="154" t="s">
        <v>192</v>
      </c>
      <c r="BX86" s="154">
        <v>52.343472665916103</v>
      </c>
      <c r="BY86" s="153" t="s">
        <v>192</v>
      </c>
      <c r="BZ86" s="153">
        <v>129.13527168718301</v>
      </c>
      <c r="CA86" s="154" t="s">
        <v>192</v>
      </c>
      <c r="CB86" s="154">
        <v>90.308589008537098</v>
      </c>
      <c r="CC86" s="153" t="s">
        <v>192</v>
      </c>
      <c r="CD86" s="153">
        <v>69.015873242199604</v>
      </c>
      <c r="CE86" s="154" t="s">
        <v>192</v>
      </c>
      <c r="CF86" s="154">
        <v>103.025613863502</v>
      </c>
      <c r="CG86" s="153" t="s">
        <v>192</v>
      </c>
      <c r="CH86" s="153">
        <v>33.9767497802004</v>
      </c>
      <c r="CI86" s="154" t="s">
        <v>192</v>
      </c>
      <c r="CJ86" s="154">
        <v>151.485610210327</v>
      </c>
      <c r="CK86" s="153" t="s">
        <v>192</v>
      </c>
      <c r="CL86" s="153">
        <v>157.73679946989</v>
      </c>
      <c r="CM86" s="154" t="s">
        <v>211</v>
      </c>
      <c r="CN86" s="154">
        <v>0.418412984559343</v>
      </c>
      <c r="CO86" s="153" t="s">
        <v>211</v>
      </c>
      <c r="CP86" s="153">
        <v>9.0484927980982501</v>
      </c>
    </row>
    <row r="87" spans="1:94" x14ac:dyDescent="0.2">
      <c r="A87" s="107">
        <v>2023</v>
      </c>
      <c r="B87" s="106" t="s">
        <v>170</v>
      </c>
      <c r="C87" s="156" t="s">
        <v>192</v>
      </c>
      <c r="D87" s="156">
        <v>6602.861829998973</v>
      </c>
      <c r="E87" s="155" t="s">
        <v>192</v>
      </c>
      <c r="F87" s="155">
        <v>278.40723622001451</v>
      </c>
      <c r="G87" s="156" t="s">
        <v>192</v>
      </c>
      <c r="H87" s="156">
        <v>131.123203933144</v>
      </c>
      <c r="I87" s="155" t="s">
        <v>192</v>
      </c>
      <c r="J87" s="155">
        <v>643.00462846668677</v>
      </c>
      <c r="K87" s="156" t="s">
        <v>192</v>
      </c>
      <c r="L87" s="156">
        <v>31.995145234827088</v>
      </c>
      <c r="M87" s="155" t="s">
        <v>192</v>
      </c>
      <c r="N87" s="155">
        <v>53.142538034211732</v>
      </c>
      <c r="O87" s="154" t="s">
        <v>192</v>
      </c>
      <c r="P87" s="154">
        <v>511.10945611885046</v>
      </c>
      <c r="Q87" s="153" t="s">
        <v>192</v>
      </c>
      <c r="R87" s="153">
        <v>1124.6380255116417</v>
      </c>
      <c r="S87" s="154" t="s">
        <v>192</v>
      </c>
      <c r="T87" s="154">
        <v>383.92826769391485</v>
      </c>
      <c r="U87" s="153" t="s">
        <v>192</v>
      </c>
      <c r="V87" s="153">
        <v>302.07971120971393</v>
      </c>
      <c r="W87" s="154" t="s">
        <v>192</v>
      </c>
      <c r="X87" s="154">
        <v>183.29606624053523</v>
      </c>
      <c r="Y87" s="153" t="s">
        <v>192</v>
      </c>
      <c r="Z87" s="153">
        <v>163.60148808130839</v>
      </c>
      <c r="AA87" s="154" t="s">
        <v>192</v>
      </c>
      <c r="AB87" s="154">
        <v>68.968669763131359</v>
      </c>
      <c r="AC87" s="153" t="s">
        <v>192</v>
      </c>
      <c r="AD87" s="153">
        <v>315.26805328666723</v>
      </c>
      <c r="AE87" s="154" t="s">
        <v>192</v>
      </c>
      <c r="AF87" s="154">
        <v>449.69457285695626</v>
      </c>
      <c r="AG87" s="153" t="s">
        <v>192</v>
      </c>
      <c r="AH87" s="153">
        <v>639.41148026341068</v>
      </c>
      <c r="AI87" s="154" t="s">
        <v>192</v>
      </c>
      <c r="AJ87" s="154">
        <v>539.91954191571767</v>
      </c>
      <c r="AK87" s="153" t="s">
        <v>192</v>
      </c>
      <c r="AL87" s="153">
        <v>442.85849049004264</v>
      </c>
      <c r="AM87" s="154" t="s">
        <v>192</v>
      </c>
      <c r="AN87" s="154">
        <v>62.623194840831893</v>
      </c>
      <c r="AO87" s="153" t="s">
        <v>192</v>
      </c>
      <c r="AP87" s="153">
        <v>156.75806635063773</v>
      </c>
      <c r="AQ87" s="154" t="s">
        <v>192</v>
      </c>
      <c r="AR87" s="154">
        <v>103.41626361784087</v>
      </c>
      <c r="AS87" s="153" t="s">
        <v>211</v>
      </c>
      <c r="AT87" s="153">
        <v>2.8197060348895411</v>
      </c>
      <c r="AU87" s="154" t="s">
        <v>192</v>
      </c>
      <c r="AV87" s="154">
        <v>14.798023833998101</v>
      </c>
      <c r="AW87" s="153" t="s">
        <v>192</v>
      </c>
      <c r="AX87" s="153">
        <v>2425.7854301119119</v>
      </c>
      <c r="AY87" s="154" t="s">
        <v>192</v>
      </c>
      <c r="AZ87" s="154">
        <v>200.76291269227644</v>
      </c>
      <c r="BA87" s="153" t="s">
        <v>211</v>
      </c>
      <c r="BB87" s="153">
        <v>5.710634939044982</v>
      </c>
      <c r="BC87" s="154" t="s">
        <v>192</v>
      </c>
      <c r="BD87" s="154">
        <v>220.89556618298661</v>
      </c>
      <c r="BE87" s="153" t="s">
        <v>211</v>
      </c>
      <c r="BF87" s="153">
        <v>2.1177258185926848</v>
      </c>
      <c r="BG87" s="154" t="s">
        <v>211</v>
      </c>
      <c r="BH87" s="154">
        <v>8.9263466889621004</v>
      </c>
      <c r="BI87" s="153" t="s">
        <v>192</v>
      </c>
      <c r="BJ87" s="153">
        <v>290.590330670009</v>
      </c>
      <c r="BK87" s="154" t="s">
        <v>192</v>
      </c>
      <c r="BL87" s="154">
        <v>542.56714387272609</v>
      </c>
      <c r="BM87" s="153" t="s">
        <v>192</v>
      </c>
      <c r="BN87" s="153">
        <v>183.38575263710186</v>
      </c>
      <c r="BO87" s="154" t="s">
        <v>192</v>
      </c>
      <c r="BP87" s="154">
        <v>147.07842979892794</v>
      </c>
      <c r="BQ87" s="153" t="s">
        <v>212</v>
      </c>
      <c r="BR87" s="153">
        <v>18.210389255671657</v>
      </c>
      <c r="BS87" s="154" t="s">
        <v>211</v>
      </c>
      <c r="BT87" s="154">
        <v>5.1839618212079284</v>
      </c>
      <c r="BU87" s="153" t="s">
        <v>211</v>
      </c>
      <c r="BV87" s="153">
        <v>11.49093663548642</v>
      </c>
      <c r="BW87" s="154" t="s">
        <v>192</v>
      </c>
      <c r="BX87" s="154">
        <v>57.651745409448893</v>
      </c>
      <c r="BY87" s="153" t="s">
        <v>192</v>
      </c>
      <c r="BZ87" s="153">
        <v>122.21453593336643</v>
      </c>
      <c r="CA87" s="154" t="s">
        <v>192</v>
      </c>
      <c r="CB87" s="154">
        <v>93.161833764889451</v>
      </c>
      <c r="CC87" s="153" t="s">
        <v>192</v>
      </c>
      <c r="CD87" s="153">
        <v>62.986781146909145</v>
      </c>
      <c r="CE87" s="154" t="s">
        <v>192</v>
      </c>
      <c r="CF87" s="154">
        <v>101.27924868373603</v>
      </c>
      <c r="CG87" s="153" t="s">
        <v>192</v>
      </c>
      <c r="CH87" s="153">
        <v>37.81691932820339</v>
      </c>
      <c r="CI87" s="154" t="s">
        <v>192</v>
      </c>
      <c r="CJ87" s="154">
        <v>148.68478286991336</v>
      </c>
      <c r="CK87" s="153" t="s">
        <v>192</v>
      </c>
      <c r="CL87" s="153">
        <v>155.88634047974762</v>
      </c>
      <c r="CM87" s="154" t="s">
        <v>211</v>
      </c>
      <c r="CN87" s="154">
        <v>0.7456302717933756</v>
      </c>
      <c r="CO87" s="153" t="s">
        <v>211</v>
      </c>
      <c r="CP87" s="153">
        <v>8.4374812109105175</v>
      </c>
    </row>
    <row r="88" spans="1:94" x14ac:dyDescent="0.2">
      <c r="A88" s="107">
        <v>2023</v>
      </c>
      <c r="B88" s="106" t="s">
        <v>169</v>
      </c>
      <c r="C88" s="156" t="s">
        <v>192</v>
      </c>
      <c r="D88" s="156">
        <v>6599.2257273640826</v>
      </c>
      <c r="E88" s="155" t="s">
        <v>192</v>
      </c>
      <c r="F88" s="155">
        <v>281.32480776911308</v>
      </c>
      <c r="G88" s="156" t="s">
        <v>192</v>
      </c>
      <c r="H88" s="156">
        <v>124.64268053738401</v>
      </c>
      <c r="I88" s="155" t="s">
        <v>192</v>
      </c>
      <c r="J88" s="155">
        <v>641.93211575459236</v>
      </c>
      <c r="K88" s="156" t="s">
        <v>212</v>
      </c>
      <c r="L88" s="156">
        <v>31.566329033654654</v>
      </c>
      <c r="M88" s="155" t="s">
        <v>192</v>
      </c>
      <c r="N88" s="155">
        <v>56.485480814883609</v>
      </c>
      <c r="O88" s="154" t="s">
        <v>192</v>
      </c>
      <c r="P88" s="154">
        <v>507.34071063675179</v>
      </c>
      <c r="Q88" s="153" t="s">
        <v>192</v>
      </c>
      <c r="R88" s="153">
        <v>1114.5782584853241</v>
      </c>
      <c r="S88" s="154" t="s">
        <v>192</v>
      </c>
      <c r="T88" s="154">
        <v>390.78608387415414</v>
      </c>
      <c r="U88" s="153" t="s">
        <v>192</v>
      </c>
      <c r="V88" s="153">
        <v>303.02750242201495</v>
      </c>
      <c r="W88" s="154" t="s">
        <v>192</v>
      </c>
      <c r="X88" s="154">
        <v>175.39748643513133</v>
      </c>
      <c r="Y88" s="153" t="s">
        <v>192</v>
      </c>
      <c r="Z88" s="153">
        <v>177.45256719885151</v>
      </c>
      <c r="AA88" s="154" t="s">
        <v>192</v>
      </c>
      <c r="AB88" s="154">
        <v>74.419941008644841</v>
      </c>
      <c r="AC88" s="153" t="s">
        <v>192</v>
      </c>
      <c r="AD88" s="153">
        <v>315.34722809003222</v>
      </c>
      <c r="AE88" s="154" t="s">
        <v>192</v>
      </c>
      <c r="AF88" s="154">
        <v>443.38854611496077</v>
      </c>
      <c r="AG88" s="153" t="s">
        <v>192</v>
      </c>
      <c r="AH88" s="153">
        <v>632.74664543269023</v>
      </c>
      <c r="AI88" s="154" t="s">
        <v>192</v>
      </c>
      <c r="AJ88" s="154">
        <v>541.52722774053234</v>
      </c>
      <c r="AK88" s="153" t="s">
        <v>192</v>
      </c>
      <c r="AL88" s="153">
        <v>431.315250937217</v>
      </c>
      <c r="AM88" s="154" t="s">
        <v>192</v>
      </c>
      <c r="AN88" s="154">
        <v>68.023628013884291</v>
      </c>
      <c r="AO88" s="153" t="s">
        <v>192</v>
      </c>
      <c r="AP88" s="153">
        <v>166.04767610816691</v>
      </c>
      <c r="AQ88" s="154" t="s">
        <v>192</v>
      </c>
      <c r="AR88" s="154">
        <v>106.36921056883385</v>
      </c>
      <c r="AS88" s="153" t="s">
        <v>211</v>
      </c>
      <c r="AT88" s="153">
        <v>2.2393044335347012</v>
      </c>
      <c r="AU88" s="154" t="s">
        <v>211</v>
      </c>
      <c r="AV88" s="154">
        <v>13.267045953730234</v>
      </c>
      <c r="AW88" s="153" t="s">
        <v>192</v>
      </c>
      <c r="AX88" s="153">
        <v>2406.2171013778593</v>
      </c>
      <c r="AY88" s="154" t="s">
        <v>192</v>
      </c>
      <c r="AZ88" s="154">
        <v>198.56590446110721</v>
      </c>
      <c r="BA88" s="153" t="s">
        <v>211</v>
      </c>
      <c r="BB88" s="153">
        <v>5.7223566779314385</v>
      </c>
      <c r="BC88" s="154" t="s">
        <v>192</v>
      </c>
      <c r="BD88" s="154">
        <v>218.98238219184049</v>
      </c>
      <c r="BE88" s="153" t="s">
        <v>211</v>
      </c>
      <c r="BF88" s="153">
        <v>2.0918923965757981</v>
      </c>
      <c r="BG88" s="154" t="s">
        <v>212</v>
      </c>
      <c r="BH88" s="154">
        <v>11.171484385827469</v>
      </c>
      <c r="BI88" s="153" t="s">
        <v>192</v>
      </c>
      <c r="BJ88" s="153">
        <v>290.36707898168862</v>
      </c>
      <c r="BK88" s="154" t="s">
        <v>192</v>
      </c>
      <c r="BL88" s="154">
        <v>533.49678189070801</v>
      </c>
      <c r="BM88" s="153" t="s">
        <v>192</v>
      </c>
      <c r="BN88" s="153">
        <v>181.31522822831349</v>
      </c>
      <c r="BO88" s="154" t="s">
        <v>192</v>
      </c>
      <c r="BP88" s="154">
        <v>139.42473356263525</v>
      </c>
      <c r="BQ88" s="153" t="s">
        <v>212</v>
      </c>
      <c r="BR88" s="153">
        <v>18.796313318226506</v>
      </c>
      <c r="BS88" s="154" t="s">
        <v>211</v>
      </c>
      <c r="BT88" s="154">
        <v>5.5846621384130186</v>
      </c>
      <c r="BU88" s="153" t="s">
        <v>211</v>
      </c>
      <c r="BV88" s="153">
        <v>15.737538039379132</v>
      </c>
      <c r="BW88" s="154" t="s">
        <v>192</v>
      </c>
      <c r="BX88" s="154">
        <v>51.539906850061008</v>
      </c>
      <c r="BY88" s="153" t="s">
        <v>192</v>
      </c>
      <c r="BZ88" s="153">
        <v>119.330760283218</v>
      </c>
      <c r="CA88" s="154" t="s">
        <v>192</v>
      </c>
      <c r="CB88" s="154">
        <v>97.794887577733888</v>
      </c>
      <c r="CC88" s="153" t="s">
        <v>192</v>
      </c>
      <c r="CD88" s="153">
        <v>61.203348696772011</v>
      </c>
      <c r="CE88" s="154" t="s">
        <v>192</v>
      </c>
      <c r="CF88" s="154">
        <v>103.13283452511544</v>
      </c>
      <c r="CG88" s="153" t="s">
        <v>192</v>
      </c>
      <c r="CH88" s="153">
        <v>37.437149041764478</v>
      </c>
      <c r="CI88" s="154" t="s">
        <v>192</v>
      </c>
      <c r="CJ88" s="154">
        <v>155.75705643837259</v>
      </c>
      <c r="CK88" s="153" t="s">
        <v>192</v>
      </c>
      <c r="CL88" s="153">
        <v>149.93647608177079</v>
      </c>
      <c r="CM88" s="154" t="s">
        <v>211</v>
      </c>
      <c r="CN88" s="154">
        <v>0.43655269376225758</v>
      </c>
      <c r="CO88" s="153" t="s">
        <v>211</v>
      </c>
      <c r="CP88" s="153">
        <v>8.3917729166421804</v>
      </c>
    </row>
    <row r="89" spans="1:94" x14ac:dyDescent="0.2">
      <c r="A89" s="107">
        <v>2023</v>
      </c>
      <c r="B89" s="106" t="s">
        <v>168</v>
      </c>
      <c r="C89" s="156" t="s">
        <v>192</v>
      </c>
      <c r="D89" s="156">
        <v>6616.3400227603697</v>
      </c>
      <c r="E89" s="155" t="s">
        <v>192</v>
      </c>
      <c r="F89" s="155">
        <v>288.45509619899218</v>
      </c>
      <c r="G89" s="156" t="s">
        <v>192</v>
      </c>
      <c r="H89" s="156">
        <v>125.16058980601252</v>
      </c>
      <c r="I89" s="155" t="s">
        <v>192</v>
      </c>
      <c r="J89" s="155">
        <v>646.25953518653637</v>
      </c>
      <c r="K89" s="156" t="s">
        <v>212</v>
      </c>
      <c r="L89" s="156">
        <v>29.536753775631823</v>
      </c>
      <c r="M89" s="155" t="s">
        <v>192</v>
      </c>
      <c r="N89" s="155">
        <v>54.509554497603332</v>
      </c>
      <c r="O89" s="154" t="s">
        <v>192</v>
      </c>
      <c r="P89" s="154">
        <v>509.37478850944188</v>
      </c>
      <c r="Q89" s="153" t="s">
        <v>192</v>
      </c>
      <c r="R89" s="153">
        <v>1123.3021702432168</v>
      </c>
      <c r="S89" s="154" t="s">
        <v>192</v>
      </c>
      <c r="T89" s="154">
        <v>396.64503728519838</v>
      </c>
      <c r="U89" s="153" t="s">
        <v>192</v>
      </c>
      <c r="V89" s="153">
        <v>295.70199206947456</v>
      </c>
      <c r="W89" s="154" t="s">
        <v>192</v>
      </c>
      <c r="X89" s="154">
        <v>154.08826211710536</v>
      </c>
      <c r="Y89" s="153" t="s">
        <v>192</v>
      </c>
      <c r="Z89" s="153">
        <v>174.23048106785791</v>
      </c>
      <c r="AA89" s="154" t="s">
        <v>192</v>
      </c>
      <c r="AB89" s="154">
        <v>72.443792723114115</v>
      </c>
      <c r="AC89" s="153" t="s">
        <v>192</v>
      </c>
      <c r="AD89" s="153">
        <v>317.17774224452643</v>
      </c>
      <c r="AE89" s="154" t="s">
        <v>192</v>
      </c>
      <c r="AF89" s="154">
        <v>454.27359520975057</v>
      </c>
      <c r="AG89" s="153" t="s">
        <v>192</v>
      </c>
      <c r="AH89" s="153">
        <v>645.12953784628246</v>
      </c>
      <c r="AI89" s="154" t="s">
        <v>192</v>
      </c>
      <c r="AJ89" s="154">
        <v>531.50579863274322</v>
      </c>
      <c r="AK89" s="153" t="s">
        <v>192</v>
      </c>
      <c r="AL89" s="153">
        <v>428.84962540618852</v>
      </c>
      <c r="AM89" s="154" t="s">
        <v>192</v>
      </c>
      <c r="AN89" s="154">
        <v>64.806956534372929</v>
      </c>
      <c r="AO89" s="153" t="s">
        <v>192</v>
      </c>
      <c r="AP89" s="153">
        <v>170.82820913798267</v>
      </c>
      <c r="AQ89" s="154" t="s">
        <v>192</v>
      </c>
      <c r="AR89" s="154">
        <v>113.90897298973711</v>
      </c>
      <c r="AS89" s="153" t="s">
        <v>211</v>
      </c>
      <c r="AT89" s="153">
        <v>1.5928872132052843</v>
      </c>
      <c r="AU89" s="154" t="s">
        <v>212</v>
      </c>
      <c r="AV89" s="154">
        <v>18.558644065395626</v>
      </c>
      <c r="AW89" s="153" t="s">
        <v>192</v>
      </c>
      <c r="AX89" s="153">
        <v>2407.1121654367057</v>
      </c>
      <c r="AY89" s="154" t="s">
        <v>192</v>
      </c>
      <c r="AZ89" s="154">
        <v>201.22601764752986</v>
      </c>
      <c r="BA89" s="153" t="s">
        <v>211</v>
      </c>
      <c r="BB89" s="153">
        <v>6.0457137067218234</v>
      </c>
      <c r="BC89" s="154" t="s">
        <v>192</v>
      </c>
      <c r="BD89" s="154">
        <v>224.83957818850428</v>
      </c>
      <c r="BE89" s="153" t="s">
        <v>211</v>
      </c>
      <c r="BF89" s="153">
        <v>1.2719665639028148</v>
      </c>
      <c r="BG89" s="154" t="s">
        <v>192</v>
      </c>
      <c r="BH89" s="154">
        <v>11.995016330909706</v>
      </c>
      <c r="BI89" s="153" t="s">
        <v>192</v>
      </c>
      <c r="BJ89" s="153">
        <v>280.07790263979564</v>
      </c>
      <c r="BK89" s="154" t="s">
        <v>192</v>
      </c>
      <c r="BL89" s="154">
        <v>542.17695288904451</v>
      </c>
      <c r="BM89" s="153" t="s">
        <v>192</v>
      </c>
      <c r="BN89" s="153">
        <v>183.56609331717408</v>
      </c>
      <c r="BO89" s="154" t="s">
        <v>192</v>
      </c>
      <c r="BP89" s="154">
        <v>143.66817952754843</v>
      </c>
      <c r="BQ89" s="153" t="s">
        <v>211</v>
      </c>
      <c r="BR89" s="153">
        <v>12.776863378274975</v>
      </c>
      <c r="BS89" s="154" t="s">
        <v>211</v>
      </c>
      <c r="BT89" s="154">
        <v>4.3954799038293428</v>
      </c>
      <c r="BU89" s="153" t="s">
        <v>211</v>
      </c>
      <c r="BV89" s="153">
        <v>13.876224059397144</v>
      </c>
      <c r="BW89" s="154" t="s">
        <v>192</v>
      </c>
      <c r="BX89" s="154">
        <v>46.098207116319379</v>
      </c>
      <c r="BY89" s="153" t="s">
        <v>192</v>
      </c>
      <c r="BZ89" s="153">
        <v>117.62172187702606</v>
      </c>
      <c r="CA89" s="154" t="s">
        <v>192</v>
      </c>
      <c r="CB89" s="154">
        <v>99.209831858821602</v>
      </c>
      <c r="CC89" s="153" t="s">
        <v>192</v>
      </c>
      <c r="CD89" s="153">
        <v>61.203144637513297</v>
      </c>
      <c r="CE89" s="154" t="s">
        <v>192</v>
      </c>
      <c r="CF89" s="154">
        <v>100.87795859336453</v>
      </c>
      <c r="CG89" s="153" t="s">
        <v>192</v>
      </c>
      <c r="CH89" s="153">
        <v>38.122560310667978</v>
      </c>
      <c r="CI89" s="154" t="s">
        <v>192</v>
      </c>
      <c r="CJ89" s="154">
        <v>163.86517471530658</v>
      </c>
      <c r="CK89" s="153" t="s">
        <v>192</v>
      </c>
      <c r="CL89" s="153">
        <v>147.7850247578269</v>
      </c>
      <c r="CM89" s="154" t="s">
        <v>211</v>
      </c>
      <c r="CN89" s="154">
        <v>0.44383925610348035</v>
      </c>
      <c r="CO89" s="153" t="s">
        <v>211</v>
      </c>
      <c r="CP89" s="153">
        <v>5.968714161123069</v>
      </c>
    </row>
    <row r="90" spans="1:94" x14ac:dyDescent="0.2">
      <c r="A90" s="107">
        <v>2023</v>
      </c>
      <c r="B90" s="106" t="s">
        <v>167</v>
      </c>
      <c r="C90" s="156" t="s">
        <v>192</v>
      </c>
      <c r="D90" s="156">
        <v>6605.0408004023448</v>
      </c>
      <c r="E90" s="155" t="s">
        <v>192</v>
      </c>
      <c r="F90" s="155">
        <v>294.306035689309</v>
      </c>
      <c r="G90" s="156" t="s">
        <v>192</v>
      </c>
      <c r="H90" s="156">
        <v>135.70233215338334</v>
      </c>
      <c r="I90" s="155" t="s">
        <v>192</v>
      </c>
      <c r="J90" s="155">
        <v>656.86159207911476</v>
      </c>
      <c r="K90" s="156" t="s">
        <v>192</v>
      </c>
      <c r="L90" s="156">
        <v>31.170474975818674</v>
      </c>
      <c r="M90" s="155" t="s">
        <v>192</v>
      </c>
      <c r="N90" s="155">
        <v>59.178539996619214</v>
      </c>
      <c r="O90" s="154" t="s">
        <v>192</v>
      </c>
      <c r="P90" s="154">
        <v>488.36506922855773</v>
      </c>
      <c r="Q90" s="153" t="s">
        <v>192</v>
      </c>
      <c r="R90" s="153">
        <v>1109.5600010284463</v>
      </c>
      <c r="S90" s="154" t="s">
        <v>192</v>
      </c>
      <c r="T90" s="154">
        <v>393.63021533844136</v>
      </c>
      <c r="U90" s="153" t="s">
        <v>192</v>
      </c>
      <c r="V90" s="153">
        <v>294.06829174061704</v>
      </c>
      <c r="W90" s="154" t="s">
        <v>192</v>
      </c>
      <c r="X90" s="154">
        <v>155.63289369809183</v>
      </c>
      <c r="Y90" s="153" t="s">
        <v>192</v>
      </c>
      <c r="Z90" s="153">
        <v>176.70980332427911</v>
      </c>
      <c r="AA90" s="154" t="s">
        <v>192</v>
      </c>
      <c r="AB90" s="154">
        <v>68.990735525878478</v>
      </c>
      <c r="AC90" s="153" t="s">
        <v>192</v>
      </c>
      <c r="AD90" s="153">
        <v>319.55717847042803</v>
      </c>
      <c r="AE90" s="154" t="s">
        <v>192</v>
      </c>
      <c r="AF90" s="154">
        <v>442.80261107060863</v>
      </c>
      <c r="AG90" s="153" t="s">
        <v>192</v>
      </c>
      <c r="AH90" s="153">
        <v>647.71893938965229</v>
      </c>
      <c r="AI90" s="154" t="s">
        <v>192</v>
      </c>
      <c r="AJ90" s="154">
        <v>532.802486738825</v>
      </c>
      <c r="AK90" s="153" t="s">
        <v>192</v>
      </c>
      <c r="AL90" s="153">
        <v>418.16370598460111</v>
      </c>
      <c r="AM90" s="154" t="s">
        <v>192</v>
      </c>
      <c r="AN90" s="154">
        <v>71.765270206654421</v>
      </c>
      <c r="AO90" s="153" t="s">
        <v>192</v>
      </c>
      <c r="AP90" s="153">
        <v>171.68588230385359</v>
      </c>
      <c r="AQ90" s="154" t="s">
        <v>192</v>
      </c>
      <c r="AR90" s="154">
        <v>112.17175501012106</v>
      </c>
      <c r="AS90" s="153" t="s">
        <v>211</v>
      </c>
      <c r="AT90" s="153">
        <v>1.9595480895904049</v>
      </c>
      <c r="AU90" s="154" t="s">
        <v>212</v>
      </c>
      <c r="AV90" s="154">
        <v>22.237438359453918</v>
      </c>
      <c r="AW90" s="153" t="s">
        <v>192</v>
      </c>
      <c r="AX90" s="153">
        <v>2447.9479417388279</v>
      </c>
      <c r="AY90" s="154" t="s">
        <v>192</v>
      </c>
      <c r="AZ90" s="154">
        <v>210.54846144464113</v>
      </c>
      <c r="BA90" s="153" t="s">
        <v>211</v>
      </c>
      <c r="BB90" s="153">
        <v>5.4703194700826234</v>
      </c>
      <c r="BC90" s="154" t="s">
        <v>192</v>
      </c>
      <c r="BD90" s="154">
        <v>221.77066430557008</v>
      </c>
      <c r="BE90" s="153" t="s">
        <v>211</v>
      </c>
      <c r="BF90" s="153">
        <v>0.98392599002822212</v>
      </c>
      <c r="BG90" s="154" t="s">
        <v>192</v>
      </c>
      <c r="BH90" s="154">
        <v>13.308258546092803</v>
      </c>
      <c r="BI90" s="153" t="s">
        <v>192</v>
      </c>
      <c r="BJ90" s="153">
        <v>271.85711582472334</v>
      </c>
      <c r="BK90" s="154" t="s">
        <v>192</v>
      </c>
      <c r="BL90" s="154">
        <v>561.43236619702134</v>
      </c>
      <c r="BM90" s="153" t="s">
        <v>192</v>
      </c>
      <c r="BN90" s="153">
        <v>176.6313777284781</v>
      </c>
      <c r="BO90" s="154" t="s">
        <v>192</v>
      </c>
      <c r="BP90" s="154">
        <v>151.41961672687185</v>
      </c>
      <c r="BQ90" s="153" t="s">
        <v>211</v>
      </c>
      <c r="BR90" s="153">
        <v>12.928884602226896</v>
      </c>
      <c r="BS90" s="154" t="s">
        <v>211</v>
      </c>
      <c r="BT90" s="154">
        <v>4.4643014914462293</v>
      </c>
      <c r="BU90" s="153" t="s">
        <v>212</v>
      </c>
      <c r="BV90" s="153">
        <v>13.750642432704632</v>
      </c>
      <c r="BW90" s="154" t="s">
        <v>192</v>
      </c>
      <c r="BX90" s="154">
        <v>40.548183947223428</v>
      </c>
      <c r="BY90" s="153" t="s">
        <v>192</v>
      </c>
      <c r="BZ90" s="153">
        <v>123.99045576354077</v>
      </c>
      <c r="CA90" s="154" t="s">
        <v>192</v>
      </c>
      <c r="CB90" s="154">
        <v>106.09075042647473</v>
      </c>
      <c r="CC90" s="153" t="s">
        <v>192</v>
      </c>
      <c r="CD90" s="153">
        <v>67.637563551830908</v>
      </c>
      <c r="CE90" s="154" t="s">
        <v>192</v>
      </c>
      <c r="CF90" s="154">
        <v>104.13398390260031</v>
      </c>
      <c r="CG90" s="153" t="s">
        <v>192</v>
      </c>
      <c r="CH90" s="153">
        <v>38.220221808096426</v>
      </c>
      <c r="CI90" s="154" t="s">
        <v>192</v>
      </c>
      <c r="CJ90" s="154">
        <v>167.58698548786586</v>
      </c>
      <c r="CK90" s="153" t="s">
        <v>192</v>
      </c>
      <c r="CL90" s="153">
        <v>148.15375635586793</v>
      </c>
      <c r="CM90" s="154" t="s">
        <v>211</v>
      </c>
      <c r="CN90" s="154">
        <v>0.21597116404339403</v>
      </c>
      <c r="CO90" s="153" t="s">
        <v>211</v>
      </c>
      <c r="CP90" s="153">
        <v>6.8041345713970234</v>
      </c>
    </row>
    <row r="91" spans="1:94" x14ac:dyDescent="0.2">
      <c r="A91" s="107">
        <v>2023</v>
      </c>
      <c r="B91" s="106" t="s">
        <v>166</v>
      </c>
      <c r="C91" s="156" t="s">
        <v>192</v>
      </c>
      <c r="D91" s="156">
        <v>6628.6393536485411</v>
      </c>
      <c r="E91" s="155" t="s">
        <v>192</v>
      </c>
      <c r="F91" s="155">
        <v>311.52419567696512</v>
      </c>
      <c r="G91" s="156" t="s">
        <v>192</v>
      </c>
      <c r="H91" s="156">
        <v>148.14889339410024</v>
      </c>
      <c r="I91" s="155" t="s">
        <v>192</v>
      </c>
      <c r="J91" s="155">
        <v>651.37183432553604</v>
      </c>
      <c r="K91" s="156" t="s">
        <v>192</v>
      </c>
      <c r="L91" s="156">
        <v>33.127424736236271</v>
      </c>
      <c r="M91" s="155" t="s">
        <v>192</v>
      </c>
      <c r="N91" s="155">
        <v>57.443064576821584</v>
      </c>
      <c r="O91" s="154" t="s">
        <v>192</v>
      </c>
      <c r="P91" s="154">
        <v>486.22628603725883</v>
      </c>
      <c r="Q91" s="153" t="s">
        <v>192</v>
      </c>
      <c r="R91" s="153">
        <v>1113.9029330848102</v>
      </c>
      <c r="S91" s="154" t="s">
        <v>192</v>
      </c>
      <c r="T91" s="154">
        <v>385.36781275357527</v>
      </c>
      <c r="U91" s="153" t="s">
        <v>192</v>
      </c>
      <c r="V91" s="153">
        <v>301.58256094557129</v>
      </c>
      <c r="W91" s="154" t="s">
        <v>192</v>
      </c>
      <c r="X91" s="154">
        <v>161.30346094203895</v>
      </c>
      <c r="Y91" s="153" t="s">
        <v>192</v>
      </c>
      <c r="Z91" s="153">
        <v>170.17098532938294</v>
      </c>
      <c r="AA91" s="154" t="s">
        <v>192</v>
      </c>
      <c r="AB91" s="154">
        <v>66.740214681465716</v>
      </c>
      <c r="AC91" s="153" t="s">
        <v>192</v>
      </c>
      <c r="AD91" s="153">
        <v>318.91551833626971</v>
      </c>
      <c r="AE91" s="154" t="s">
        <v>192</v>
      </c>
      <c r="AF91" s="154">
        <v>432.25217418648356</v>
      </c>
      <c r="AG91" s="153" t="s">
        <v>192</v>
      </c>
      <c r="AH91" s="153">
        <v>659.12305926657007</v>
      </c>
      <c r="AI91" s="154" t="s">
        <v>192</v>
      </c>
      <c r="AJ91" s="154">
        <v>534.60089107547333</v>
      </c>
      <c r="AK91" s="153" t="s">
        <v>192</v>
      </c>
      <c r="AL91" s="153">
        <v>418.32830795718047</v>
      </c>
      <c r="AM91" s="154" t="s">
        <v>192</v>
      </c>
      <c r="AN91" s="154">
        <v>75.398828551515194</v>
      </c>
      <c r="AO91" s="153" t="s">
        <v>192</v>
      </c>
      <c r="AP91" s="153">
        <v>163.67541382891005</v>
      </c>
      <c r="AQ91" s="154" t="s">
        <v>192</v>
      </c>
      <c r="AR91" s="154">
        <v>110.66806127837825</v>
      </c>
      <c r="AS91" s="153" t="s">
        <v>211</v>
      </c>
      <c r="AT91" s="153">
        <v>2.9217645918554234</v>
      </c>
      <c r="AU91" s="154" t="s">
        <v>212</v>
      </c>
      <c r="AV91" s="154">
        <v>25.84566809214305</v>
      </c>
      <c r="AW91" s="153" t="s">
        <v>192</v>
      </c>
      <c r="AX91" s="153">
        <v>2509.7773676556862</v>
      </c>
      <c r="AY91" s="154" t="s">
        <v>192</v>
      </c>
      <c r="AZ91" s="154">
        <v>217.6201224317056</v>
      </c>
      <c r="BA91" s="153" t="s">
        <v>211</v>
      </c>
      <c r="BB91" s="153">
        <v>5.2612577818341624</v>
      </c>
      <c r="BC91" s="154" t="s">
        <v>192</v>
      </c>
      <c r="BD91" s="154">
        <v>232.26914535168964</v>
      </c>
      <c r="BE91" s="153" t="s">
        <v>211</v>
      </c>
      <c r="BF91" s="153">
        <v>0.52229632421692307</v>
      </c>
      <c r="BG91" s="154" t="s">
        <v>192</v>
      </c>
      <c r="BH91" s="154">
        <v>12.116206777874327</v>
      </c>
      <c r="BI91" s="153" t="s">
        <v>192</v>
      </c>
      <c r="BJ91" s="153">
        <v>283.57429554201121</v>
      </c>
      <c r="BK91" s="154" t="s">
        <v>192</v>
      </c>
      <c r="BL91" s="154">
        <v>574.35795128224515</v>
      </c>
      <c r="BM91" s="153" t="s">
        <v>192</v>
      </c>
      <c r="BN91" s="153">
        <v>186.34969830179969</v>
      </c>
      <c r="BO91" s="154" t="s">
        <v>192</v>
      </c>
      <c r="BP91" s="154">
        <v>155.30952909374304</v>
      </c>
      <c r="BQ91" s="153" t="s">
        <v>211</v>
      </c>
      <c r="BR91" s="153">
        <v>12.599536669667589</v>
      </c>
      <c r="BS91" s="154" t="s">
        <v>211</v>
      </c>
      <c r="BT91" s="154">
        <v>3.9172319575354213</v>
      </c>
      <c r="BU91" s="153" t="s">
        <v>212</v>
      </c>
      <c r="BV91" s="153">
        <v>10.626858632427366</v>
      </c>
      <c r="BW91" s="154" t="s">
        <v>192</v>
      </c>
      <c r="BX91" s="154">
        <v>41.727001796892118</v>
      </c>
      <c r="BY91" s="153" t="s">
        <v>192</v>
      </c>
      <c r="BZ91" s="153">
        <v>128.60894003895376</v>
      </c>
      <c r="CA91" s="154" t="s">
        <v>192</v>
      </c>
      <c r="CB91" s="154">
        <v>98.196448640043172</v>
      </c>
      <c r="CC91" s="153" t="s">
        <v>192</v>
      </c>
      <c r="CD91" s="153">
        <v>65.00465611021832</v>
      </c>
      <c r="CE91" s="154" t="s">
        <v>192</v>
      </c>
      <c r="CF91" s="154">
        <v>99.907441059911633</v>
      </c>
      <c r="CG91" s="153" t="s">
        <v>192</v>
      </c>
      <c r="CH91" s="153">
        <v>39.871359473889328</v>
      </c>
      <c r="CI91" s="154" t="s">
        <v>192</v>
      </c>
      <c r="CJ91" s="154">
        <v>175.95434891486397</v>
      </c>
      <c r="CK91" s="153" t="s">
        <v>192</v>
      </c>
      <c r="CL91" s="153">
        <v>156.50947876092465</v>
      </c>
      <c r="CM91" s="154" t="s">
        <v>211</v>
      </c>
      <c r="CN91" s="154">
        <v>0.38094335165859894</v>
      </c>
      <c r="CO91" s="153" t="s">
        <v>211</v>
      </c>
      <c r="CP91" s="153">
        <v>9.0926193615804305</v>
      </c>
    </row>
    <row r="92" spans="1:94" x14ac:dyDescent="0.2">
      <c r="A92" s="107">
        <v>2023</v>
      </c>
      <c r="B92" s="106" t="s">
        <v>165</v>
      </c>
      <c r="C92" s="156" t="s">
        <v>192</v>
      </c>
      <c r="D92" s="156">
        <v>6683.8569649395668</v>
      </c>
      <c r="E92" s="155" t="s">
        <v>192</v>
      </c>
      <c r="F92" s="155">
        <v>329.5218245022204</v>
      </c>
      <c r="G92" s="156" t="s">
        <v>192</v>
      </c>
      <c r="H92" s="156">
        <v>148.70018450932562</v>
      </c>
      <c r="I92" s="155" t="s">
        <v>192</v>
      </c>
      <c r="J92" s="155">
        <v>647.95650405647052</v>
      </c>
      <c r="K92" s="156" t="s">
        <v>212</v>
      </c>
      <c r="L92" s="156">
        <v>35.498855393235843</v>
      </c>
      <c r="M92" s="155" t="s">
        <v>192</v>
      </c>
      <c r="N92" s="155">
        <v>59.728218660119509</v>
      </c>
      <c r="O92" s="154" t="s">
        <v>192</v>
      </c>
      <c r="P92" s="154">
        <v>473.68409072741673</v>
      </c>
      <c r="Q92" s="153" t="s">
        <v>192</v>
      </c>
      <c r="R92" s="153">
        <v>1132.9277993125613</v>
      </c>
      <c r="S92" s="154" t="s">
        <v>192</v>
      </c>
      <c r="T92" s="154">
        <v>382.0422214173351</v>
      </c>
      <c r="U92" s="153" t="s">
        <v>192</v>
      </c>
      <c r="V92" s="153">
        <v>307.12897633999705</v>
      </c>
      <c r="W92" s="154" t="s">
        <v>192</v>
      </c>
      <c r="X92" s="154">
        <v>169.01812114748071</v>
      </c>
      <c r="Y92" s="153" t="s">
        <v>192</v>
      </c>
      <c r="Z92" s="153">
        <v>173.83363194641342</v>
      </c>
      <c r="AA92" s="154" t="s">
        <v>192</v>
      </c>
      <c r="AB92" s="154">
        <v>68.608527099560817</v>
      </c>
      <c r="AC92" s="153" t="s">
        <v>192</v>
      </c>
      <c r="AD92" s="153">
        <v>315.17749222246226</v>
      </c>
      <c r="AE92" s="154" t="s">
        <v>192</v>
      </c>
      <c r="AF92" s="154">
        <v>442.28007636931596</v>
      </c>
      <c r="AG92" s="153" t="s">
        <v>192</v>
      </c>
      <c r="AH92" s="153">
        <v>638.41422194292102</v>
      </c>
      <c r="AI92" s="154" t="s">
        <v>192</v>
      </c>
      <c r="AJ92" s="154">
        <v>540.57822766544859</v>
      </c>
      <c r="AK92" s="153" t="s">
        <v>192</v>
      </c>
      <c r="AL92" s="153">
        <v>438.51139155763337</v>
      </c>
      <c r="AM92" s="154" t="s">
        <v>192</v>
      </c>
      <c r="AN92" s="154">
        <v>77.743357518345377</v>
      </c>
      <c r="AO92" s="153" t="s">
        <v>192</v>
      </c>
      <c r="AP92" s="153">
        <v>167.33855832096657</v>
      </c>
      <c r="AQ92" s="154" t="s">
        <v>192</v>
      </c>
      <c r="AR92" s="154">
        <v>109.44851800545564</v>
      </c>
      <c r="AS92" s="153" t="s">
        <v>211</v>
      </c>
      <c r="AT92" s="153">
        <v>5.0545080432143354</v>
      </c>
      <c r="AU92" s="154" t="s">
        <v>192</v>
      </c>
      <c r="AV92" s="154">
        <v>20.661658181665668</v>
      </c>
      <c r="AW92" s="153" t="s">
        <v>192</v>
      </c>
      <c r="AX92" s="153">
        <v>2539.277939221924</v>
      </c>
      <c r="AY92" s="154" t="s">
        <v>192</v>
      </c>
      <c r="AZ92" s="154">
        <v>240.24869920557131</v>
      </c>
      <c r="BA92" s="153" t="s">
        <v>211</v>
      </c>
      <c r="BB92" s="153">
        <v>4.4470177969955822</v>
      </c>
      <c r="BC92" s="154" t="s">
        <v>192</v>
      </c>
      <c r="BD92" s="154">
        <v>228.3563906598923</v>
      </c>
      <c r="BE92" s="153" t="s">
        <v>211</v>
      </c>
      <c r="BF92" s="153">
        <v>1.6434275807967642</v>
      </c>
      <c r="BG92" s="154" t="s">
        <v>212</v>
      </c>
      <c r="BH92" s="154">
        <v>11.73798348489467</v>
      </c>
      <c r="BI92" s="153" t="s">
        <v>192</v>
      </c>
      <c r="BJ92" s="153">
        <v>290.84042291185239</v>
      </c>
      <c r="BK92" s="154" t="s">
        <v>192</v>
      </c>
      <c r="BL92" s="154">
        <v>573.44321357351305</v>
      </c>
      <c r="BM92" s="153" t="s">
        <v>192</v>
      </c>
      <c r="BN92" s="153">
        <v>186.56937203996719</v>
      </c>
      <c r="BO92" s="154" t="s">
        <v>192</v>
      </c>
      <c r="BP92" s="154">
        <v>160.67809931678642</v>
      </c>
      <c r="BQ92" s="153" t="s">
        <v>211</v>
      </c>
      <c r="BR92" s="153">
        <v>14.322722881926412</v>
      </c>
      <c r="BS92" s="154" t="s">
        <v>211</v>
      </c>
      <c r="BT92" s="154">
        <v>3.8593731814606209</v>
      </c>
      <c r="BU92" s="153" t="s">
        <v>211</v>
      </c>
      <c r="BV92" s="153">
        <v>10.101862604494418</v>
      </c>
      <c r="BW92" s="154" t="s">
        <v>192</v>
      </c>
      <c r="BX92" s="154">
        <v>41.469128068812381</v>
      </c>
      <c r="BY92" s="153" t="s">
        <v>192</v>
      </c>
      <c r="BZ92" s="153">
        <v>128.65058226078943</v>
      </c>
      <c r="CA92" s="154" t="s">
        <v>192</v>
      </c>
      <c r="CB92" s="154">
        <v>100.29017774745968</v>
      </c>
      <c r="CC92" s="153" t="s">
        <v>192</v>
      </c>
      <c r="CD92" s="153">
        <v>60.744766432079793</v>
      </c>
      <c r="CE92" s="154" t="s">
        <v>192</v>
      </c>
      <c r="CF92" s="154">
        <v>96.388064524581964</v>
      </c>
      <c r="CG92" s="153" t="s">
        <v>192</v>
      </c>
      <c r="CH92" s="153">
        <v>37.513457988112428</v>
      </c>
      <c r="CI92" s="154" t="s">
        <v>192</v>
      </c>
      <c r="CJ92" s="154">
        <v>170.5447924147648</v>
      </c>
      <c r="CK92" s="153" t="s">
        <v>192</v>
      </c>
      <c r="CL92" s="153">
        <v>162.20126926627975</v>
      </c>
      <c r="CM92" s="154" t="s">
        <v>211</v>
      </c>
      <c r="CN92" s="154">
        <v>0.91923800389883437</v>
      </c>
      <c r="CO92" s="153" t="s">
        <v>211</v>
      </c>
      <c r="CP92" s="153">
        <v>14.307877276994033</v>
      </c>
    </row>
    <row r="93" spans="1:94" x14ac:dyDescent="0.2">
      <c r="A93" s="107">
        <v>2023</v>
      </c>
      <c r="B93" s="106" t="s">
        <v>164</v>
      </c>
      <c r="C93" s="156" t="s">
        <v>192</v>
      </c>
      <c r="D93" s="156">
        <v>6718.5143374877089</v>
      </c>
      <c r="E93" s="155" t="s">
        <v>192</v>
      </c>
      <c r="F93" s="155">
        <v>352.27977040502776</v>
      </c>
      <c r="G93" s="156" t="s">
        <v>192</v>
      </c>
      <c r="H93" s="156">
        <v>147.91686346671548</v>
      </c>
      <c r="I93" s="155" t="s">
        <v>192</v>
      </c>
      <c r="J93" s="155">
        <v>635.7221799537906</v>
      </c>
      <c r="K93" s="156" t="s">
        <v>212</v>
      </c>
      <c r="L93" s="156">
        <v>37.192644168611828</v>
      </c>
      <c r="M93" s="155" t="s">
        <v>192</v>
      </c>
      <c r="N93" s="155">
        <v>57.699259833786009</v>
      </c>
      <c r="O93" s="154" t="s">
        <v>192</v>
      </c>
      <c r="P93" s="154">
        <v>483.5649358903276</v>
      </c>
      <c r="Q93" s="153" t="s">
        <v>192</v>
      </c>
      <c r="R93" s="153">
        <v>1149.4808147977485</v>
      </c>
      <c r="S93" s="154" t="s">
        <v>192</v>
      </c>
      <c r="T93" s="154">
        <v>383.22736636786721</v>
      </c>
      <c r="U93" s="153" t="s">
        <v>192</v>
      </c>
      <c r="V93" s="153">
        <v>315.73917684240791</v>
      </c>
      <c r="W93" s="154" t="s">
        <v>192</v>
      </c>
      <c r="X93" s="154">
        <v>173.74315204721671</v>
      </c>
      <c r="Y93" s="153" t="s">
        <v>192</v>
      </c>
      <c r="Z93" s="153">
        <v>166.27271889207177</v>
      </c>
      <c r="AA93" s="154" t="s">
        <v>192</v>
      </c>
      <c r="AB93" s="154">
        <v>67.353372396653555</v>
      </c>
      <c r="AC93" s="153" t="s">
        <v>192</v>
      </c>
      <c r="AD93" s="153">
        <v>298.24762835940459</v>
      </c>
      <c r="AE93" s="154" t="s">
        <v>192</v>
      </c>
      <c r="AF93" s="154">
        <v>463.57100276183422</v>
      </c>
      <c r="AG93" s="153" t="s">
        <v>192</v>
      </c>
      <c r="AH93" s="153">
        <v>627.93675718304587</v>
      </c>
      <c r="AI93" s="154" t="s">
        <v>192</v>
      </c>
      <c r="AJ93" s="154">
        <v>544.38563395553228</v>
      </c>
      <c r="AK93" s="153" t="s">
        <v>192</v>
      </c>
      <c r="AL93" s="153">
        <v>449.69182197127526</v>
      </c>
      <c r="AM93" s="154" t="s">
        <v>192</v>
      </c>
      <c r="AN93" s="154">
        <v>69.032156058335715</v>
      </c>
      <c r="AO93" s="153" t="s">
        <v>192</v>
      </c>
      <c r="AP93" s="153">
        <v>163.59432168853144</v>
      </c>
      <c r="AQ93" s="154" t="s">
        <v>192</v>
      </c>
      <c r="AR93" s="154">
        <v>109.82794306806758</v>
      </c>
      <c r="AS93" s="153" t="s">
        <v>211</v>
      </c>
      <c r="AT93" s="153">
        <v>4.2086287715528963</v>
      </c>
      <c r="AU93" s="154" t="s">
        <v>212</v>
      </c>
      <c r="AV93" s="154">
        <v>17.826188607904324</v>
      </c>
      <c r="AW93" s="153" t="s">
        <v>192</v>
      </c>
      <c r="AX93" s="153">
        <v>2554.9120597958276</v>
      </c>
      <c r="AY93" s="154" t="s">
        <v>192</v>
      </c>
      <c r="AZ93" s="154">
        <v>257.81984067536541</v>
      </c>
      <c r="BA93" s="153" t="s">
        <v>211</v>
      </c>
      <c r="BB93" s="153">
        <v>4.4016636192759098</v>
      </c>
      <c r="BC93" s="154" t="s">
        <v>192</v>
      </c>
      <c r="BD93" s="154">
        <v>232.17024667062455</v>
      </c>
      <c r="BE93" s="153" t="s">
        <v>211</v>
      </c>
      <c r="BF93" s="153">
        <v>1.9849769010580145</v>
      </c>
      <c r="BG93" s="154" t="s">
        <v>211</v>
      </c>
      <c r="BH93" s="154">
        <v>10.461630889785527</v>
      </c>
      <c r="BI93" s="153" t="s">
        <v>192</v>
      </c>
      <c r="BJ93" s="153">
        <v>294.70444399976435</v>
      </c>
      <c r="BK93" s="154" t="s">
        <v>192</v>
      </c>
      <c r="BL93" s="154">
        <v>578.22404346118549</v>
      </c>
      <c r="BM93" s="153" t="s">
        <v>192</v>
      </c>
      <c r="BN93" s="153">
        <v>190.17987986955779</v>
      </c>
      <c r="BO93" s="154" t="s">
        <v>192</v>
      </c>
      <c r="BP93" s="154">
        <v>155.47810525645133</v>
      </c>
      <c r="BQ93" s="153" t="s">
        <v>211</v>
      </c>
      <c r="BR93" s="153">
        <v>13.004417316796941</v>
      </c>
      <c r="BS93" s="154" t="s">
        <v>211</v>
      </c>
      <c r="BT93" s="154">
        <v>4.137611817014915</v>
      </c>
      <c r="BU93" s="153" t="s">
        <v>211</v>
      </c>
      <c r="BV93" s="153">
        <v>10.033919340199533</v>
      </c>
      <c r="BW93" s="154" t="s">
        <v>192</v>
      </c>
      <c r="BX93" s="154">
        <v>40.784773586166651</v>
      </c>
      <c r="BY93" s="153" t="s">
        <v>192</v>
      </c>
      <c r="BZ93" s="153">
        <v>128.20236253781187</v>
      </c>
      <c r="CA93" s="154" t="s">
        <v>192</v>
      </c>
      <c r="CB93" s="154">
        <v>94.795879264415859</v>
      </c>
      <c r="CC93" s="153" t="s">
        <v>192</v>
      </c>
      <c r="CD93" s="153">
        <v>62.194918620310361</v>
      </c>
      <c r="CE93" s="154" t="s">
        <v>192</v>
      </c>
      <c r="CF93" s="154">
        <v>89.516470146805304</v>
      </c>
      <c r="CG93" s="153" t="s">
        <v>192</v>
      </c>
      <c r="CH93" s="153">
        <v>35.178351809757906</v>
      </c>
      <c r="CI93" s="154" t="s">
        <v>192</v>
      </c>
      <c r="CJ93" s="154">
        <v>170.50390978530206</v>
      </c>
      <c r="CK93" s="153" t="s">
        <v>192</v>
      </c>
      <c r="CL93" s="153">
        <v>165.34455325778202</v>
      </c>
      <c r="CM93" s="154" t="s">
        <v>211</v>
      </c>
      <c r="CN93" s="154">
        <v>0.95996573148996311</v>
      </c>
      <c r="CO93" s="153" t="s">
        <v>212</v>
      </c>
      <c r="CP93" s="153">
        <v>14.830095238905729</v>
      </c>
    </row>
    <row r="94" spans="1:94" x14ac:dyDescent="0.2">
      <c r="A94" s="107">
        <v>2024</v>
      </c>
      <c r="B94" s="106" t="s">
        <v>163</v>
      </c>
      <c r="C94" s="156" t="s">
        <v>192</v>
      </c>
      <c r="D94" s="156">
        <v>6760.7490205109343</v>
      </c>
      <c r="E94" s="155" t="s">
        <v>192</v>
      </c>
      <c r="F94" s="155">
        <v>354.06502891697215</v>
      </c>
      <c r="G94" s="156" t="s">
        <v>192</v>
      </c>
      <c r="H94" s="156">
        <v>144.74864281804955</v>
      </c>
      <c r="I94" s="155" t="s">
        <v>192</v>
      </c>
      <c r="J94" s="155">
        <v>636.72963802933259</v>
      </c>
      <c r="K94" s="156" t="s">
        <v>212</v>
      </c>
      <c r="L94" s="156">
        <v>36.692800664702325</v>
      </c>
      <c r="M94" s="155" t="s">
        <v>192</v>
      </c>
      <c r="N94" s="155">
        <v>60.23583075733557</v>
      </c>
      <c r="O94" s="154" t="s">
        <v>192</v>
      </c>
      <c r="P94" s="154">
        <v>491.07400234404469</v>
      </c>
      <c r="Q94" s="153" t="s">
        <v>192</v>
      </c>
      <c r="R94" s="153">
        <v>1155.5061401722025</v>
      </c>
      <c r="S94" s="154" t="s">
        <v>192</v>
      </c>
      <c r="T94" s="154">
        <v>394.58747382909979</v>
      </c>
      <c r="U94" s="153" t="s">
        <v>192</v>
      </c>
      <c r="V94" s="153">
        <v>317.83106092235869</v>
      </c>
      <c r="W94" s="154" t="s">
        <v>192</v>
      </c>
      <c r="X94" s="154">
        <v>172.21887271375996</v>
      </c>
      <c r="Y94" s="153" t="s">
        <v>192</v>
      </c>
      <c r="Z94" s="153">
        <v>166.74306004020002</v>
      </c>
      <c r="AA94" s="154" t="s">
        <v>192</v>
      </c>
      <c r="AB94" s="154">
        <v>65.195595877398276</v>
      </c>
      <c r="AC94" s="153" t="s">
        <v>192</v>
      </c>
      <c r="AD94" s="153">
        <v>303.07441393128073</v>
      </c>
      <c r="AE94" s="154" t="s">
        <v>192</v>
      </c>
      <c r="AF94" s="154">
        <v>480.51522815434771</v>
      </c>
      <c r="AG94" s="153" t="s">
        <v>192</v>
      </c>
      <c r="AH94" s="153">
        <v>627.40619636125791</v>
      </c>
      <c r="AI94" s="154" t="s">
        <v>192</v>
      </c>
      <c r="AJ94" s="154">
        <v>541.80511204354718</v>
      </c>
      <c r="AK94" s="153" t="s">
        <v>192</v>
      </c>
      <c r="AL94" s="153">
        <v>457.36574511422782</v>
      </c>
      <c r="AM94" s="154" t="s">
        <v>192</v>
      </c>
      <c r="AN94" s="154">
        <v>71.186873474285477</v>
      </c>
      <c r="AO94" s="153" t="s">
        <v>192</v>
      </c>
      <c r="AP94" s="153">
        <v>160.36631040631394</v>
      </c>
      <c r="AQ94" s="154" t="s">
        <v>192</v>
      </c>
      <c r="AR94" s="154">
        <v>105.20536821626322</v>
      </c>
      <c r="AS94" s="153" t="s">
        <v>211</v>
      </c>
      <c r="AT94" s="153">
        <v>3.308555986801736</v>
      </c>
      <c r="AU94" s="154" t="s">
        <v>211</v>
      </c>
      <c r="AV94" s="154">
        <v>14.887069737151803</v>
      </c>
      <c r="AW94" s="153" t="s">
        <v>192</v>
      </c>
      <c r="AX94" s="153">
        <v>2548.8590738379344</v>
      </c>
      <c r="AY94" s="154" t="s">
        <v>192</v>
      </c>
      <c r="AZ94" s="154">
        <v>268.37514466076971</v>
      </c>
      <c r="BA94" s="153" t="s">
        <v>211</v>
      </c>
      <c r="BB94" s="153">
        <v>4.9560121508471777</v>
      </c>
      <c r="BC94" s="154" t="s">
        <v>192</v>
      </c>
      <c r="BD94" s="154">
        <v>230.68168241161717</v>
      </c>
      <c r="BE94" s="153" t="s">
        <v>211</v>
      </c>
      <c r="BF94" s="153">
        <v>2.3361040259167249</v>
      </c>
      <c r="BG94" s="154" t="s">
        <v>211</v>
      </c>
      <c r="BH94" s="154">
        <v>10.607211342849421</v>
      </c>
      <c r="BI94" s="153" t="s">
        <v>192</v>
      </c>
      <c r="BJ94" s="153">
        <v>306.17152640707951</v>
      </c>
      <c r="BK94" s="154" t="s">
        <v>192</v>
      </c>
      <c r="BL94" s="154">
        <v>573.00373286057254</v>
      </c>
      <c r="BM94" s="153" t="s">
        <v>192</v>
      </c>
      <c r="BN94" s="153">
        <v>177.76529351319141</v>
      </c>
      <c r="BO94" s="154" t="s">
        <v>192</v>
      </c>
      <c r="BP94" s="154">
        <v>158.97621738498765</v>
      </c>
      <c r="BQ94" s="153" t="s">
        <v>212</v>
      </c>
      <c r="BR94" s="153">
        <v>15.206577550181439</v>
      </c>
      <c r="BS94" s="154" t="s">
        <v>211</v>
      </c>
      <c r="BT94" s="154">
        <v>5.2507784733306826</v>
      </c>
      <c r="BU94" s="153" t="s">
        <v>211</v>
      </c>
      <c r="BV94" s="153">
        <v>11.915571796342446</v>
      </c>
      <c r="BW94" s="154" t="s">
        <v>192</v>
      </c>
      <c r="BX94" s="154">
        <v>39.4947818625349</v>
      </c>
      <c r="BY94" s="153" t="s">
        <v>192</v>
      </c>
      <c r="BZ94" s="153">
        <v>125.57059108088902</v>
      </c>
      <c r="CA94" s="154" t="s">
        <v>192</v>
      </c>
      <c r="CB94" s="154">
        <v>94.919955469776511</v>
      </c>
      <c r="CC94" s="153" t="s">
        <v>192</v>
      </c>
      <c r="CD94" s="153">
        <v>58.801438899182116</v>
      </c>
      <c r="CE94" s="154" t="s">
        <v>192</v>
      </c>
      <c r="CF94" s="154">
        <v>87.446116164068172</v>
      </c>
      <c r="CG94" s="153" t="s">
        <v>192</v>
      </c>
      <c r="CH94" s="153">
        <v>31.449687663963498</v>
      </c>
      <c r="CI94" s="154" t="s">
        <v>192</v>
      </c>
      <c r="CJ94" s="154">
        <v>167.64970959546824</v>
      </c>
      <c r="CK94" s="153" t="s">
        <v>192</v>
      </c>
      <c r="CL94" s="153">
        <v>165.12234139131269</v>
      </c>
      <c r="CM94" s="154" t="s">
        <v>211</v>
      </c>
      <c r="CN94" s="154">
        <v>0.68961898070786609</v>
      </c>
      <c r="CO94" s="153" t="s">
        <v>211</v>
      </c>
      <c r="CP94" s="153">
        <v>12.468980152345466</v>
      </c>
    </row>
    <row r="95" spans="1:94" x14ac:dyDescent="0.2">
      <c r="A95" s="107">
        <v>2024</v>
      </c>
      <c r="B95" s="106" t="s">
        <v>162</v>
      </c>
      <c r="C95" s="156" t="s">
        <v>192</v>
      </c>
      <c r="D95" s="156">
        <v>6694.0434361847947</v>
      </c>
      <c r="E95" s="155" t="s">
        <v>192</v>
      </c>
      <c r="F95" s="155">
        <v>339.60274405740932</v>
      </c>
      <c r="G95" s="156" t="s">
        <v>192</v>
      </c>
      <c r="H95" s="156">
        <v>144.33026537517685</v>
      </c>
      <c r="I95" s="155" t="s">
        <v>192</v>
      </c>
      <c r="J95" s="155">
        <v>621.61959524494932</v>
      </c>
      <c r="K95" s="156" t="s">
        <v>212</v>
      </c>
      <c r="L95" s="156">
        <v>35.150934592045289</v>
      </c>
      <c r="M95" s="155" t="s">
        <v>192</v>
      </c>
      <c r="N95" s="155">
        <v>57.932192851945175</v>
      </c>
      <c r="O95" s="154" t="s">
        <v>192</v>
      </c>
      <c r="P95" s="154">
        <v>506.96479508966621</v>
      </c>
      <c r="Q95" s="153" t="s">
        <v>192</v>
      </c>
      <c r="R95" s="153">
        <v>1116.3281411326032</v>
      </c>
      <c r="S95" s="154" t="s">
        <v>192</v>
      </c>
      <c r="T95" s="154">
        <v>398.50888667469701</v>
      </c>
      <c r="U95" s="153" t="s">
        <v>192</v>
      </c>
      <c r="V95" s="153">
        <v>318.189568566758</v>
      </c>
      <c r="W95" s="154" t="s">
        <v>192</v>
      </c>
      <c r="X95" s="154">
        <v>175.21925445687958</v>
      </c>
      <c r="Y95" s="153" t="s">
        <v>192</v>
      </c>
      <c r="Z95" s="153">
        <v>165.07961698649839</v>
      </c>
      <c r="AA95" s="154" t="s">
        <v>192</v>
      </c>
      <c r="AB95" s="154">
        <v>69.486933694531672</v>
      </c>
      <c r="AC95" s="153" t="s">
        <v>192</v>
      </c>
      <c r="AD95" s="153">
        <v>290.26776838406278</v>
      </c>
      <c r="AE95" s="154" t="s">
        <v>192</v>
      </c>
      <c r="AF95" s="154">
        <v>479.30827725925337</v>
      </c>
      <c r="AG95" s="153" t="s">
        <v>192</v>
      </c>
      <c r="AH95" s="153">
        <v>646.52375672266544</v>
      </c>
      <c r="AI95" s="154" t="s">
        <v>192</v>
      </c>
      <c r="AJ95" s="154">
        <v>525.03967054805173</v>
      </c>
      <c r="AK95" s="153" t="s">
        <v>192</v>
      </c>
      <c r="AL95" s="153">
        <v>447.62398200051155</v>
      </c>
      <c r="AM95" s="154" t="s">
        <v>192</v>
      </c>
      <c r="AN95" s="154">
        <v>71.212588168672525</v>
      </c>
      <c r="AO95" s="153" t="s">
        <v>192</v>
      </c>
      <c r="AP95" s="153">
        <v>162.98098617098981</v>
      </c>
      <c r="AQ95" s="154" t="s">
        <v>192</v>
      </c>
      <c r="AR95" s="154">
        <v>107.32942592915811</v>
      </c>
      <c r="AS95" s="153" t="s">
        <v>211</v>
      </c>
      <c r="AT95" s="153">
        <v>0.98135456344768468</v>
      </c>
      <c r="AU95" s="154" t="s">
        <v>211</v>
      </c>
      <c r="AV95" s="154">
        <v>14.362697714822151</v>
      </c>
      <c r="AW95" s="153" t="s">
        <v>192</v>
      </c>
      <c r="AX95" s="153">
        <v>2614.6412648517235</v>
      </c>
      <c r="AY95" s="154" t="s">
        <v>192</v>
      </c>
      <c r="AZ95" s="154">
        <v>263.74956774270692</v>
      </c>
      <c r="BA95" s="153" t="s">
        <v>211</v>
      </c>
      <c r="BB95" s="153">
        <v>5.0751737847914011</v>
      </c>
      <c r="BC95" s="154" t="s">
        <v>192</v>
      </c>
      <c r="BD95" s="154">
        <v>225.91654586527002</v>
      </c>
      <c r="BE95" s="153" t="s">
        <v>211</v>
      </c>
      <c r="BF95" s="153">
        <v>1.2873507150540484</v>
      </c>
      <c r="BG95" s="154" t="s">
        <v>211</v>
      </c>
      <c r="BH95" s="154">
        <v>11.170432122354235</v>
      </c>
      <c r="BI95" s="153" t="s">
        <v>192</v>
      </c>
      <c r="BJ95" s="153">
        <v>311.72550067755742</v>
      </c>
      <c r="BK95" s="154" t="s">
        <v>192</v>
      </c>
      <c r="BL95" s="154">
        <v>593.32848229096351</v>
      </c>
      <c r="BM95" s="153" t="s">
        <v>192</v>
      </c>
      <c r="BN95" s="153">
        <v>196.84822583026792</v>
      </c>
      <c r="BO95" s="154" t="s">
        <v>192</v>
      </c>
      <c r="BP95" s="154">
        <v>160.19781942155674</v>
      </c>
      <c r="BQ95" s="153" t="s">
        <v>212</v>
      </c>
      <c r="BR95" s="153">
        <v>19.27566685421575</v>
      </c>
      <c r="BS95" s="154" t="s">
        <v>211</v>
      </c>
      <c r="BT95" s="154">
        <v>8.0511890526517647</v>
      </c>
      <c r="BU95" s="153" t="s">
        <v>211</v>
      </c>
      <c r="BV95" s="153">
        <v>12.576554384156045</v>
      </c>
      <c r="BW95" s="154" t="s">
        <v>192</v>
      </c>
      <c r="BX95" s="154">
        <v>40.182807856949651</v>
      </c>
      <c r="BY95" s="153" t="s">
        <v>192</v>
      </c>
      <c r="BZ95" s="153">
        <v>120.50242059425503</v>
      </c>
      <c r="CA95" s="154" t="s">
        <v>192</v>
      </c>
      <c r="CB95" s="154">
        <v>102.04751134230064</v>
      </c>
      <c r="CC95" s="153" t="s">
        <v>192</v>
      </c>
      <c r="CD95" s="153">
        <v>60.491969133367427</v>
      </c>
      <c r="CE95" s="154" t="s">
        <v>192</v>
      </c>
      <c r="CF95" s="154">
        <v>86.54044795275054</v>
      </c>
      <c r="CG95" s="153" t="s">
        <v>192</v>
      </c>
      <c r="CH95" s="153">
        <v>35.754001370404431</v>
      </c>
      <c r="CI95" s="154" t="s">
        <v>192</v>
      </c>
      <c r="CJ95" s="154">
        <v>180.54286828607869</v>
      </c>
      <c r="CK95" s="153" t="s">
        <v>192</v>
      </c>
      <c r="CL95" s="153">
        <v>167.54985636422799</v>
      </c>
      <c r="CM95" s="154" t="s">
        <v>211</v>
      </c>
      <c r="CN95" s="154">
        <v>0.1661617980127777</v>
      </c>
      <c r="CO95" s="153" t="s">
        <v>211</v>
      </c>
      <c r="CP95" s="153">
        <v>11.660711411830109</v>
      </c>
    </row>
    <row r="96" spans="1:94" x14ac:dyDescent="0.25">
      <c r="A96" s="104"/>
      <c r="B96" s="103"/>
      <c r="C96" s="103"/>
      <c r="D96" s="151"/>
      <c r="E96" s="150"/>
      <c r="F96" s="151"/>
      <c r="G96" s="150"/>
      <c r="H96" s="151"/>
      <c r="I96" s="149"/>
      <c r="J96" s="152"/>
      <c r="K96" s="150"/>
      <c r="L96" s="152"/>
      <c r="M96" s="149"/>
      <c r="N96" s="151"/>
      <c r="O96" s="150"/>
      <c r="P96" s="102"/>
      <c r="Q96" s="149"/>
      <c r="R96" s="102"/>
      <c r="S96" s="150"/>
      <c r="T96" s="102"/>
      <c r="U96" s="149"/>
      <c r="V96" s="102"/>
      <c r="W96" s="150"/>
      <c r="X96" s="102"/>
      <c r="Y96" s="149"/>
      <c r="Z96" s="102"/>
      <c r="AA96" s="150"/>
      <c r="AB96" s="102"/>
      <c r="AC96" s="149"/>
      <c r="AD96" s="102"/>
      <c r="AE96" s="150"/>
      <c r="AF96" s="102"/>
      <c r="AG96" s="149"/>
      <c r="AH96" s="102"/>
      <c r="AI96" s="150"/>
      <c r="AJ96" s="102"/>
      <c r="AK96" s="149"/>
      <c r="AL96" s="102"/>
      <c r="AM96" s="150"/>
      <c r="AN96" s="102"/>
      <c r="AO96" s="149"/>
      <c r="AP96" s="102"/>
      <c r="AQ96" s="150"/>
      <c r="AR96" s="102"/>
      <c r="AS96" s="149"/>
      <c r="AT96" s="102"/>
      <c r="AU96" s="150"/>
      <c r="AV96" s="102"/>
      <c r="AW96" s="149"/>
      <c r="AX96" s="102"/>
      <c r="AY96" s="150"/>
      <c r="AZ96" s="102"/>
      <c r="BA96" s="149"/>
      <c r="BB96" s="102"/>
      <c r="BC96" s="150"/>
      <c r="BD96" s="102"/>
      <c r="BE96" s="149"/>
      <c r="BF96" s="102"/>
      <c r="BG96" s="150"/>
      <c r="BH96" s="102"/>
      <c r="BI96" s="149"/>
      <c r="BJ96" s="102"/>
      <c r="BK96" s="150"/>
      <c r="BL96" s="102"/>
      <c r="BM96" s="149"/>
      <c r="BN96" s="102"/>
      <c r="BO96" s="150"/>
      <c r="BP96" s="102"/>
      <c r="BQ96" s="149"/>
      <c r="BR96" s="102"/>
      <c r="BS96" s="150"/>
      <c r="BT96" s="102"/>
      <c r="BU96" s="149"/>
      <c r="BV96" s="102"/>
      <c r="BW96" s="150"/>
      <c r="BX96" s="102"/>
      <c r="BY96" s="149"/>
      <c r="BZ96" s="102"/>
      <c r="CA96" s="150"/>
      <c r="CB96" s="102"/>
      <c r="CC96" s="149"/>
      <c r="CD96" s="102"/>
      <c r="CE96" s="150"/>
      <c r="CF96" s="102"/>
      <c r="CG96" s="149"/>
      <c r="CH96" s="102"/>
      <c r="CI96" s="150"/>
      <c r="CJ96" s="102"/>
      <c r="CK96" s="149"/>
      <c r="CL96" s="102"/>
      <c r="CM96" s="150"/>
      <c r="CN96" s="102"/>
      <c r="CO96" s="149"/>
      <c r="CP96" s="102"/>
    </row>
    <row r="97" spans="1:20" ht="12.75" customHeight="1" x14ac:dyDescent="0.25">
      <c r="A97" s="101" t="s">
        <v>161</v>
      </c>
      <c r="B97" s="100"/>
      <c r="C97" s="148"/>
      <c r="D97" s="100"/>
      <c r="E97" s="148"/>
      <c r="F97" s="100"/>
      <c r="G97" s="148"/>
      <c r="H97" s="100"/>
      <c r="I97" s="148"/>
      <c r="J97" s="100"/>
      <c r="K97" s="148"/>
      <c r="L97" s="100"/>
      <c r="M97" s="148"/>
      <c r="N97" s="100"/>
      <c r="O97" s="148"/>
      <c r="P97" s="100"/>
      <c r="Q97" s="148"/>
      <c r="R97" s="100"/>
      <c r="S97" s="148"/>
      <c r="T97" s="100"/>
    </row>
    <row r="98" spans="1:20" ht="12.75" customHeight="1" x14ac:dyDescent="0.25">
      <c r="A98" s="97"/>
      <c r="B98" s="97"/>
      <c r="C98" s="146"/>
      <c r="D98" s="97"/>
      <c r="F98" s="97"/>
      <c r="H98" s="97"/>
      <c r="J98" s="97"/>
      <c r="L98" s="97"/>
      <c r="N98" s="97"/>
    </row>
    <row r="99" spans="1:20" ht="12.75" customHeight="1" x14ac:dyDescent="0.25">
      <c r="A99" s="99" t="s">
        <v>210</v>
      </c>
      <c r="B99" s="97"/>
      <c r="C99" s="146"/>
      <c r="D99" s="97"/>
      <c r="F99" s="97"/>
      <c r="H99" s="97"/>
      <c r="J99" s="97"/>
      <c r="L99" s="97"/>
      <c r="N99" s="97"/>
    </row>
    <row r="100" spans="1:20" ht="12.75" customHeight="1" x14ac:dyDescent="0.25">
      <c r="A100" s="99" t="s">
        <v>209</v>
      </c>
      <c r="B100" s="97"/>
      <c r="C100" s="146"/>
      <c r="D100" s="97"/>
      <c r="F100" s="97"/>
      <c r="H100" s="97"/>
      <c r="J100" s="97"/>
      <c r="L100" s="97"/>
      <c r="N100" s="97"/>
    </row>
    <row r="101" spans="1:20" ht="12.75" customHeight="1" x14ac:dyDescent="0.25">
      <c r="A101" s="97" t="s">
        <v>208</v>
      </c>
      <c r="B101" s="97"/>
      <c r="C101" s="146"/>
      <c r="D101" s="97"/>
      <c r="F101" s="97"/>
      <c r="H101" s="97"/>
      <c r="J101" s="97"/>
      <c r="L101" s="97"/>
      <c r="N101" s="97"/>
    </row>
    <row r="102" spans="1:20" ht="12.75" customHeight="1" x14ac:dyDescent="0.25">
      <c r="A102" s="97" t="s">
        <v>207</v>
      </c>
      <c r="B102" s="97"/>
      <c r="C102" s="146"/>
      <c r="D102" s="97"/>
      <c r="F102" s="97"/>
      <c r="H102" s="97"/>
      <c r="J102" s="97"/>
      <c r="L102" s="97"/>
      <c r="N102" s="97"/>
    </row>
    <row r="103" spans="1:20" ht="12.75" customHeight="1" x14ac:dyDescent="0.25">
      <c r="A103" s="97"/>
      <c r="B103" s="97"/>
      <c r="C103" s="146"/>
      <c r="D103" s="97"/>
      <c r="F103" s="97"/>
      <c r="H103" s="97"/>
      <c r="J103" s="97"/>
      <c r="L103" s="97"/>
      <c r="N103" s="97"/>
    </row>
    <row r="104" spans="1:20" ht="12.75" customHeight="1" x14ac:dyDescent="0.25">
      <c r="A104" s="97" t="s">
        <v>160</v>
      </c>
      <c r="B104" s="97"/>
      <c r="C104" s="146"/>
      <c r="D104" s="97"/>
      <c r="F104" s="97"/>
      <c r="H104" s="97"/>
      <c r="J104" s="97"/>
      <c r="L104" s="97"/>
      <c r="N104" s="97"/>
    </row>
    <row r="105" spans="1:20" ht="12.75" customHeight="1" x14ac:dyDescent="0.25">
      <c r="A105" s="97" t="s">
        <v>159</v>
      </c>
      <c r="B105" s="97"/>
      <c r="C105" s="146"/>
      <c r="D105" s="97"/>
      <c r="F105" s="97"/>
      <c r="H105" s="97"/>
      <c r="J105" s="97"/>
      <c r="L105" s="97"/>
      <c r="N105" s="97"/>
    </row>
    <row r="106" spans="1:20" ht="12.75" customHeight="1" x14ac:dyDescent="0.25">
      <c r="A106" s="97"/>
      <c r="B106" s="97"/>
      <c r="C106" s="146"/>
      <c r="D106" s="97"/>
      <c r="F106" s="97"/>
      <c r="H106" s="97"/>
      <c r="J106" s="97"/>
      <c r="L106" s="97"/>
      <c r="N106" s="97"/>
    </row>
    <row r="107" spans="1:20" ht="12.75" customHeight="1" x14ac:dyDescent="0.25">
      <c r="A107" s="97"/>
      <c r="B107" s="97"/>
      <c r="C107" s="146"/>
      <c r="D107" s="97"/>
      <c r="F107" s="97"/>
      <c r="H107" s="97"/>
      <c r="J107" s="97"/>
      <c r="L107" s="97"/>
      <c r="N107" s="97"/>
    </row>
    <row r="108" spans="1:20" ht="12.75" customHeight="1" x14ac:dyDescent="0.25">
      <c r="A108" s="97"/>
      <c r="B108" s="97"/>
      <c r="C108" s="146"/>
      <c r="D108" s="97"/>
      <c r="F108" s="97"/>
      <c r="H108" s="97"/>
      <c r="J108" s="97"/>
      <c r="L108" s="97"/>
      <c r="N108" s="97"/>
    </row>
    <row r="109" spans="1:20" ht="12.75" customHeight="1" x14ac:dyDescent="0.25">
      <c r="A109" s="97"/>
      <c r="B109" s="97"/>
      <c r="C109" s="146"/>
      <c r="D109" s="97"/>
      <c r="F109" s="97"/>
      <c r="H109" s="97"/>
      <c r="J109" s="97"/>
      <c r="L109" s="97"/>
      <c r="N109" s="97"/>
    </row>
    <row r="110" spans="1:20" ht="12.75" customHeight="1" x14ac:dyDescent="0.25">
      <c r="A110" s="97"/>
      <c r="B110" s="97"/>
      <c r="C110" s="146"/>
      <c r="D110" s="97"/>
      <c r="F110" s="97"/>
      <c r="H110" s="97"/>
      <c r="J110" s="97"/>
      <c r="L110" s="97"/>
      <c r="N110" s="97"/>
    </row>
    <row r="111" spans="1:20" ht="12.75" customHeight="1" x14ac:dyDescent="0.25">
      <c r="A111" s="97"/>
      <c r="B111" s="97"/>
      <c r="C111" s="146"/>
      <c r="D111" s="97"/>
      <c r="F111" s="97"/>
      <c r="H111" s="97"/>
      <c r="J111" s="97"/>
      <c r="L111" s="97"/>
      <c r="N111" s="97"/>
    </row>
    <row r="112" spans="1:20" ht="12.75" customHeight="1" x14ac:dyDescent="0.25">
      <c r="A112" s="97"/>
      <c r="B112" s="97"/>
      <c r="C112" s="146"/>
      <c r="D112" s="97"/>
      <c r="F112" s="97"/>
      <c r="H112" s="97"/>
      <c r="J112" s="97"/>
      <c r="L112" s="97"/>
      <c r="N112" s="97"/>
    </row>
    <row r="113" spans="1:14" ht="12.75" customHeight="1" x14ac:dyDescent="0.25">
      <c r="A113" s="97"/>
      <c r="B113" s="97"/>
      <c r="C113" s="146"/>
      <c r="D113" s="97"/>
      <c r="F113" s="97"/>
      <c r="H113" s="97"/>
      <c r="J113" s="97"/>
      <c r="L113" s="97"/>
      <c r="N113" s="97"/>
    </row>
    <row r="114" spans="1:14" ht="12.75" customHeight="1" x14ac:dyDescent="0.25">
      <c r="A114" s="97"/>
      <c r="B114" s="97"/>
      <c r="C114" s="146"/>
      <c r="D114" s="97"/>
      <c r="F114" s="97"/>
      <c r="H114" s="97"/>
      <c r="J114" s="97"/>
      <c r="L114" s="97"/>
      <c r="N114" s="97"/>
    </row>
    <row r="115" spans="1:14" ht="12.75" customHeight="1" x14ac:dyDescent="0.25">
      <c r="A115" s="97"/>
      <c r="B115" s="97"/>
      <c r="C115" s="146"/>
      <c r="D115" s="97"/>
      <c r="F115" s="97"/>
      <c r="H115" s="97"/>
      <c r="J115" s="97"/>
      <c r="L115" s="97"/>
      <c r="N115" s="97"/>
    </row>
    <row r="116" spans="1:14" ht="12.75" customHeight="1" x14ac:dyDescent="0.25">
      <c r="A116" s="97"/>
      <c r="B116" s="97"/>
      <c r="C116" s="146"/>
      <c r="D116" s="97"/>
      <c r="F116" s="97"/>
      <c r="H116" s="97"/>
      <c r="J116" s="97"/>
      <c r="L116" s="97"/>
      <c r="N116" s="97"/>
    </row>
    <row r="117" spans="1:14" ht="12.75" customHeight="1" x14ac:dyDescent="0.25">
      <c r="A117" s="97"/>
      <c r="B117" s="97"/>
      <c r="C117" s="146"/>
      <c r="D117" s="97"/>
      <c r="F117" s="97"/>
      <c r="H117" s="97"/>
      <c r="J117" s="97"/>
      <c r="L117" s="97"/>
      <c r="N117" s="97"/>
    </row>
    <row r="118" spans="1:14" ht="12.75" customHeight="1" x14ac:dyDescent="0.25">
      <c r="A118" s="97"/>
      <c r="B118" s="97"/>
      <c r="C118" s="146"/>
      <c r="D118" s="97"/>
      <c r="F118" s="97"/>
      <c r="H118" s="97"/>
      <c r="J118" s="97"/>
      <c r="L118" s="97"/>
      <c r="N118" s="97"/>
    </row>
    <row r="119" spans="1:14" ht="12.75" customHeight="1" x14ac:dyDescent="0.25">
      <c r="A119" s="97"/>
      <c r="B119" s="97"/>
      <c r="C119" s="146"/>
      <c r="D119" s="97"/>
      <c r="F119" s="97"/>
      <c r="H119" s="97"/>
      <c r="J119" s="97"/>
      <c r="L119" s="97"/>
      <c r="N119" s="97"/>
    </row>
    <row r="120" spans="1:14" ht="12.75" customHeight="1" x14ac:dyDescent="0.25">
      <c r="A120" s="97"/>
      <c r="B120" s="97"/>
      <c r="C120" s="146"/>
      <c r="D120" s="97"/>
      <c r="F120" s="97"/>
      <c r="H120" s="97"/>
      <c r="J120" s="97"/>
      <c r="L120" s="97"/>
      <c r="N120" s="97"/>
    </row>
    <row r="121" spans="1:14" ht="12.75" customHeight="1" x14ac:dyDescent="0.25">
      <c r="A121" s="97"/>
      <c r="B121" s="97"/>
      <c r="C121" s="146"/>
      <c r="D121" s="97"/>
      <c r="F121" s="97"/>
      <c r="H121" s="97"/>
      <c r="J121" s="97"/>
      <c r="L121" s="97"/>
      <c r="N121" s="97"/>
    </row>
    <row r="122" spans="1:14" ht="12.75" customHeight="1" x14ac:dyDescent="0.25">
      <c r="A122" s="97"/>
      <c r="B122" s="97"/>
      <c r="C122" s="146"/>
      <c r="D122" s="97"/>
      <c r="F122" s="97"/>
      <c r="H122" s="97"/>
      <c r="J122" s="97"/>
      <c r="L122" s="97"/>
      <c r="N122" s="97"/>
    </row>
    <row r="123" spans="1:14" ht="12.75" customHeight="1" x14ac:dyDescent="0.25">
      <c r="A123" s="97"/>
      <c r="B123" s="97"/>
      <c r="C123" s="146"/>
      <c r="D123" s="97"/>
      <c r="F123" s="97"/>
      <c r="H123" s="97"/>
      <c r="J123" s="97"/>
      <c r="L123" s="97"/>
      <c r="N123" s="97"/>
    </row>
    <row r="124" spans="1:14" ht="12.75" customHeight="1" x14ac:dyDescent="0.25">
      <c r="A124" s="97"/>
      <c r="B124" s="97"/>
      <c r="C124" s="146"/>
      <c r="D124" s="97"/>
      <c r="F124" s="97"/>
      <c r="H124" s="97"/>
      <c r="J124" s="97"/>
      <c r="L124" s="97"/>
      <c r="N124" s="97"/>
    </row>
    <row r="125" spans="1:14" ht="12.75" customHeight="1" x14ac:dyDescent="0.25">
      <c r="A125" s="97"/>
      <c r="B125" s="97"/>
      <c r="C125" s="146"/>
      <c r="D125" s="97"/>
      <c r="F125" s="97"/>
      <c r="H125" s="97"/>
      <c r="J125" s="97"/>
      <c r="L125" s="97"/>
      <c r="N125" s="97"/>
    </row>
    <row r="126" spans="1:14" ht="12.75" customHeight="1" x14ac:dyDescent="0.25">
      <c r="A126" s="97"/>
      <c r="B126" s="97"/>
      <c r="C126" s="146"/>
      <c r="D126" s="97"/>
      <c r="F126" s="97"/>
      <c r="H126" s="97"/>
      <c r="J126" s="97"/>
      <c r="L126" s="97"/>
      <c r="N126" s="97"/>
    </row>
    <row r="127" spans="1:14" ht="12.75" customHeight="1" x14ac:dyDescent="0.25">
      <c r="A127" s="97"/>
      <c r="B127" s="97"/>
      <c r="C127" s="146"/>
      <c r="D127" s="97"/>
      <c r="F127" s="97"/>
      <c r="H127" s="97"/>
      <c r="J127" s="97"/>
      <c r="L127" s="97"/>
      <c r="N127" s="97"/>
    </row>
    <row r="128" spans="1:14" ht="12.75" customHeight="1" x14ac:dyDescent="0.25">
      <c r="A128" s="97"/>
      <c r="B128" s="97"/>
      <c r="C128" s="146"/>
      <c r="D128" s="97"/>
      <c r="F128" s="97"/>
      <c r="H128" s="97"/>
      <c r="J128" s="97"/>
      <c r="L128" s="97"/>
      <c r="N128" s="97"/>
    </row>
    <row r="129" spans="1:14" ht="12.75" customHeight="1" x14ac:dyDescent="0.25">
      <c r="A129" s="97"/>
      <c r="B129" s="97"/>
      <c r="C129" s="146"/>
      <c r="D129" s="97"/>
      <c r="F129" s="97"/>
      <c r="H129" s="97"/>
      <c r="J129" s="97"/>
      <c r="L129" s="97"/>
      <c r="N129" s="97"/>
    </row>
    <row r="130" spans="1:14" ht="12.75" customHeight="1" x14ac:dyDescent="0.25">
      <c r="A130" s="97"/>
      <c r="B130" s="97"/>
      <c r="C130" s="146"/>
      <c r="D130" s="97"/>
      <c r="F130" s="97"/>
      <c r="H130" s="97"/>
      <c r="J130" s="97"/>
      <c r="L130" s="97"/>
      <c r="N130" s="97"/>
    </row>
    <row r="131" spans="1:14" ht="12.75" customHeight="1" x14ac:dyDescent="0.25">
      <c r="A131" s="97"/>
      <c r="B131" s="97"/>
      <c r="C131" s="146"/>
      <c r="D131" s="97"/>
      <c r="F131" s="97"/>
      <c r="H131" s="97"/>
      <c r="J131" s="97"/>
      <c r="L131" s="97"/>
      <c r="N131" s="97"/>
    </row>
    <row r="132" spans="1:14" ht="12.75" customHeight="1" x14ac:dyDescent="0.25">
      <c r="A132" s="97"/>
      <c r="B132" s="97"/>
      <c r="C132" s="146"/>
      <c r="D132" s="97"/>
      <c r="F132" s="97"/>
      <c r="H132" s="97"/>
      <c r="J132" s="97"/>
      <c r="L132" s="97"/>
      <c r="N132" s="97"/>
    </row>
    <row r="133" spans="1:14" ht="12.75" customHeight="1" x14ac:dyDescent="0.25">
      <c r="A133" s="97"/>
      <c r="B133" s="97"/>
      <c r="C133" s="146"/>
      <c r="D133" s="97"/>
      <c r="F133" s="97"/>
      <c r="H133" s="97"/>
      <c r="J133" s="97"/>
      <c r="L133" s="97"/>
      <c r="N133" s="97"/>
    </row>
    <row r="134" spans="1:14" ht="12.75" customHeight="1" x14ac:dyDescent="0.25">
      <c r="A134" s="97"/>
      <c r="B134" s="97"/>
      <c r="C134" s="146"/>
      <c r="D134" s="97"/>
      <c r="F134" s="97"/>
      <c r="H134" s="97"/>
      <c r="J134" s="97"/>
      <c r="L134" s="97"/>
      <c r="N134" s="97"/>
    </row>
    <row r="135" spans="1:14" ht="12.75" customHeight="1" x14ac:dyDescent="0.25">
      <c r="A135" s="97"/>
      <c r="B135" s="97"/>
      <c r="C135" s="146"/>
      <c r="D135" s="97"/>
      <c r="F135" s="97"/>
      <c r="H135" s="97"/>
      <c r="J135" s="97"/>
      <c r="L135" s="97"/>
      <c r="N135" s="97"/>
    </row>
    <row r="136" spans="1:14" ht="12.75" customHeight="1" x14ac:dyDescent="0.25">
      <c r="A136" s="97"/>
      <c r="B136" s="97"/>
      <c r="C136" s="146"/>
      <c r="D136" s="97"/>
      <c r="F136" s="97"/>
      <c r="H136" s="97"/>
      <c r="J136" s="97"/>
      <c r="L136" s="97"/>
      <c r="N136" s="97"/>
    </row>
    <row r="137" spans="1:14" ht="12.75" customHeight="1" x14ac:dyDescent="0.25">
      <c r="A137" s="97"/>
      <c r="B137" s="97"/>
      <c r="C137" s="146"/>
      <c r="D137" s="97"/>
      <c r="F137" s="97"/>
      <c r="H137" s="97"/>
      <c r="J137" s="97"/>
      <c r="L137" s="97"/>
      <c r="N137" s="97"/>
    </row>
    <row r="138" spans="1:14" ht="12.75" customHeight="1" x14ac:dyDescent="0.25">
      <c r="A138" s="97"/>
      <c r="B138" s="97"/>
      <c r="C138" s="146"/>
      <c r="D138" s="97"/>
      <c r="F138" s="97"/>
      <c r="H138" s="97"/>
      <c r="J138" s="97"/>
      <c r="L138" s="97"/>
      <c r="N138" s="97"/>
    </row>
    <row r="139" spans="1:14" ht="12.75" customHeight="1" x14ac:dyDescent="0.25">
      <c r="A139" s="97"/>
      <c r="B139" s="97"/>
      <c r="C139" s="146"/>
      <c r="D139" s="97"/>
      <c r="F139" s="97"/>
      <c r="H139" s="97"/>
      <c r="J139" s="97"/>
      <c r="L139" s="97"/>
      <c r="N139" s="97"/>
    </row>
    <row r="140" spans="1:14" ht="12.75" customHeight="1" x14ac:dyDescent="0.25">
      <c r="A140" s="97"/>
      <c r="B140" s="97"/>
      <c r="C140" s="146"/>
      <c r="D140" s="97"/>
      <c r="F140" s="97"/>
      <c r="H140" s="97"/>
      <c r="J140" s="97"/>
      <c r="L140" s="97"/>
      <c r="N140" s="97"/>
    </row>
    <row r="141" spans="1:14" ht="12.75" customHeight="1" x14ac:dyDescent="0.25">
      <c r="A141" s="97"/>
      <c r="B141" s="97"/>
      <c r="C141" s="146"/>
      <c r="D141" s="97"/>
      <c r="F141" s="97"/>
      <c r="H141" s="97"/>
      <c r="J141" s="97"/>
      <c r="L141" s="97"/>
      <c r="N141" s="97"/>
    </row>
    <row r="142" spans="1:14" ht="12.75" customHeight="1" x14ac:dyDescent="0.25">
      <c r="A142" s="97"/>
      <c r="B142" s="97"/>
      <c r="C142" s="146"/>
      <c r="D142" s="97"/>
      <c r="F142" s="97"/>
      <c r="H142" s="97"/>
      <c r="J142" s="97"/>
      <c r="L142" s="97"/>
      <c r="N142" s="97"/>
    </row>
    <row r="143" spans="1:14" ht="12.75" customHeight="1" x14ac:dyDescent="0.25">
      <c r="A143" s="97"/>
      <c r="B143" s="97"/>
      <c r="C143" s="146"/>
      <c r="D143" s="97"/>
      <c r="F143" s="97"/>
      <c r="H143" s="97"/>
      <c r="J143" s="97"/>
      <c r="L143" s="97"/>
      <c r="N143" s="97"/>
    </row>
    <row r="144" spans="1:14" ht="12.75" customHeight="1" x14ac:dyDescent="0.25">
      <c r="A144" s="97"/>
      <c r="B144" s="97"/>
      <c r="C144" s="146"/>
      <c r="D144" s="97"/>
      <c r="F144" s="97"/>
      <c r="H144" s="97"/>
      <c r="J144" s="97"/>
      <c r="L144" s="97"/>
      <c r="N144" s="97"/>
    </row>
    <row r="145" spans="1:14" ht="12.75" customHeight="1" x14ac:dyDescent="0.25">
      <c r="A145" s="97"/>
      <c r="B145" s="97"/>
      <c r="C145" s="146"/>
      <c r="D145" s="97"/>
      <c r="F145" s="97"/>
      <c r="H145" s="97"/>
      <c r="J145" s="97"/>
      <c r="L145" s="97"/>
      <c r="N145" s="97"/>
    </row>
    <row r="146" spans="1:14" ht="12.75" customHeight="1" x14ac:dyDescent="0.25">
      <c r="A146" s="97"/>
      <c r="B146" s="97"/>
      <c r="C146" s="146"/>
      <c r="D146" s="97"/>
      <c r="F146" s="97"/>
      <c r="H146" s="97"/>
      <c r="J146" s="97"/>
      <c r="L146" s="97"/>
      <c r="N146" s="97"/>
    </row>
    <row r="147" spans="1:14" ht="12.75" customHeight="1" x14ac:dyDescent="0.25">
      <c r="A147" s="97"/>
      <c r="B147" s="97"/>
      <c r="C147" s="146"/>
      <c r="D147" s="97"/>
      <c r="F147" s="97"/>
      <c r="H147" s="97"/>
      <c r="J147" s="97"/>
      <c r="L147" s="97"/>
      <c r="N147" s="97"/>
    </row>
    <row r="148" spans="1:14" ht="12.75" customHeight="1" x14ac:dyDescent="0.25">
      <c r="A148" s="97"/>
      <c r="B148" s="97"/>
      <c r="C148" s="146"/>
      <c r="D148" s="97"/>
      <c r="F148" s="97"/>
      <c r="H148" s="97"/>
      <c r="J148" s="97"/>
      <c r="L148" s="97"/>
      <c r="N148" s="97"/>
    </row>
    <row r="149" spans="1:14" ht="12.75" customHeight="1" x14ac:dyDescent="0.25">
      <c r="A149" s="97"/>
      <c r="B149" s="97"/>
      <c r="C149" s="146"/>
      <c r="D149" s="97"/>
      <c r="F149" s="97"/>
      <c r="H149" s="97"/>
      <c r="J149" s="97"/>
      <c r="L149" s="97"/>
      <c r="N149" s="97"/>
    </row>
    <row r="150" spans="1:14" ht="12.75" customHeight="1" x14ac:dyDescent="0.25">
      <c r="A150" s="97"/>
      <c r="B150" s="97"/>
      <c r="C150" s="146"/>
      <c r="D150" s="97"/>
      <c r="F150" s="97"/>
      <c r="H150" s="97"/>
      <c r="J150" s="97"/>
      <c r="L150" s="97"/>
      <c r="N150" s="97"/>
    </row>
    <row r="151" spans="1:14" ht="12.75" customHeight="1" x14ac:dyDescent="0.25">
      <c r="A151" s="97"/>
      <c r="B151" s="97"/>
      <c r="C151" s="146"/>
      <c r="D151" s="97"/>
      <c r="F151" s="97"/>
      <c r="H151" s="97"/>
      <c r="J151" s="97"/>
      <c r="L151" s="97"/>
      <c r="N151" s="97"/>
    </row>
    <row r="152" spans="1:14" ht="12.75" customHeight="1" x14ac:dyDescent="0.25">
      <c r="A152" s="97"/>
      <c r="B152" s="97"/>
      <c r="C152" s="146"/>
      <c r="D152" s="97"/>
      <c r="F152" s="97"/>
      <c r="H152" s="97"/>
      <c r="J152" s="97"/>
      <c r="L152" s="97"/>
      <c r="N152" s="97"/>
    </row>
    <row r="153" spans="1:14" ht="12.75" customHeight="1" x14ac:dyDescent="0.25">
      <c r="A153" s="97"/>
      <c r="B153" s="97"/>
      <c r="C153" s="146"/>
      <c r="D153" s="97"/>
      <c r="F153" s="97"/>
      <c r="H153" s="97"/>
      <c r="J153" s="97"/>
      <c r="L153" s="97"/>
      <c r="N153" s="97"/>
    </row>
    <row r="154" spans="1:14" ht="12.75" customHeight="1" x14ac:dyDescent="0.25">
      <c r="A154" s="97"/>
      <c r="B154" s="97"/>
      <c r="C154" s="146"/>
      <c r="D154" s="97"/>
      <c r="F154" s="97"/>
      <c r="H154" s="97"/>
      <c r="J154" s="97"/>
      <c r="L154" s="97"/>
      <c r="N154" s="97"/>
    </row>
    <row r="155" spans="1:14" ht="12.75" customHeight="1" x14ac:dyDescent="0.25">
      <c r="A155" s="97"/>
      <c r="B155" s="97"/>
      <c r="C155" s="146"/>
      <c r="D155" s="97"/>
      <c r="F155" s="97"/>
      <c r="H155" s="97"/>
      <c r="J155" s="97"/>
      <c r="L155" s="97"/>
      <c r="N155" s="97"/>
    </row>
    <row r="156" spans="1:14" ht="12.75" customHeight="1" x14ac:dyDescent="0.25">
      <c r="A156" s="97"/>
      <c r="B156" s="97"/>
      <c r="C156" s="146"/>
      <c r="D156" s="97"/>
      <c r="F156" s="97"/>
      <c r="H156" s="97"/>
      <c r="J156" s="97"/>
      <c r="L156" s="97"/>
      <c r="N156" s="97"/>
    </row>
    <row r="157" spans="1:14" ht="12.75" customHeight="1" x14ac:dyDescent="0.25">
      <c r="A157" s="97"/>
      <c r="B157" s="97"/>
      <c r="C157" s="146"/>
      <c r="D157" s="97"/>
      <c r="F157" s="97"/>
      <c r="H157" s="97"/>
      <c r="J157" s="97"/>
      <c r="L157" s="97"/>
      <c r="N157" s="97"/>
    </row>
    <row r="158" spans="1:14" ht="12.75" customHeight="1" x14ac:dyDescent="0.25">
      <c r="A158" s="97"/>
      <c r="B158" s="97"/>
      <c r="C158" s="146"/>
      <c r="D158" s="97"/>
      <c r="F158" s="97"/>
      <c r="H158" s="97"/>
      <c r="J158" s="97"/>
      <c r="L158" s="97"/>
      <c r="N158" s="97"/>
    </row>
    <row r="159" spans="1:14" ht="12.75" customHeight="1" x14ac:dyDescent="0.25">
      <c r="A159" s="97"/>
      <c r="B159" s="97"/>
      <c r="C159" s="146"/>
      <c r="D159" s="97"/>
      <c r="F159" s="97"/>
      <c r="H159" s="97"/>
      <c r="J159" s="97"/>
      <c r="L159" s="97"/>
      <c r="N159" s="97"/>
    </row>
    <row r="160" spans="1:14" ht="12.75" customHeight="1" x14ac:dyDescent="0.25">
      <c r="A160" s="97"/>
      <c r="B160" s="97"/>
      <c r="C160" s="146"/>
      <c r="D160" s="97"/>
      <c r="F160" s="97"/>
      <c r="H160" s="97"/>
      <c r="J160" s="97"/>
      <c r="L160" s="97"/>
      <c r="N160" s="97"/>
    </row>
    <row r="161" spans="1:14" ht="12.75" customHeight="1" x14ac:dyDescent="0.25">
      <c r="A161" s="97"/>
      <c r="B161" s="97"/>
      <c r="C161" s="146"/>
      <c r="D161" s="97"/>
      <c r="F161" s="97"/>
      <c r="H161" s="97"/>
      <c r="J161" s="97"/>
      <c r="L161" s="97"/>
      <c r="N161" s="97"/>
    </row>
    <row r="162" spans="1:14" ht="12.75" customHeight="1" x14ac:dyDescent="0.25">
      <c r="A162" s="97"/>
      <c r="B162" s="97"/>
      <c r="C162" s="146"/>
      <c r="D162" s="97"/>
      <c r="F162" s="97"/>
      <c r="H162" s="97"/>
      <c r="J162" s="97"/>
      <c r="L162" s="97"/>
      <c r="N162" s="97"/>
    </row>
    <row r="163" spans="1:14" ht="12.75" customHeight="1" x14ac:dyDescent="0.25">
      <c r="A163" s="97"/>
      <c r="B163" s="97"/>
      <c r="C163" s="146"/>
      <c r="D163" s="97"/>
      <c r="F163" s="97"/>
      <c r="H163" s="97"/>
      <c r="J163" s="97"/>
      <c r="L163" s="97"/>
      <c r="N163" s="97"/>
    </row>
    <row r="164" spans="1:14" ht="12.75" customHeight="1" x14ac:dyDescent="0.25">
      <c r="A164" s="97"/>
      <c r="B164" s="97"/>
      <c r="C164" s="146"/>
      <c r="D164" s="97"/>
      <c r="F164" s="97"/>
      <c r="H164" s="97"/>
      <c r="J164" s="97"/>
      <c r="L164" s="97"/>
      <c r="N164" s="97"/>
    </row>
    <row r="165" spans="1:14" ht="12.75" customHeight="1" x14ac:dyDescent="0.25">
      <c r="A165" s="97"/>
      <c r="B165" s="97"/>
      <c r="C165" s="146"/>
      <c r="D165" s="97"/>
      <c r="F165" s="97"/>
      <c r="H165" s="97"/>
      <c r="J165" s="97"/>
      <c r="L165" s="97"/>
      <c r="N165" s="97"/>
    </row>
    <row r="166" spans="1:14" ht="12.75" customHeight="1" x14ac:dyDescent="0.25">
      <c r="A166" s="97"/>
      <c r="B166" s="97"/>
      <c r="C166" s="146"/>
      <c r="D166" s="97"/>
      <c r="F166" s="97"/>
      <c r="H166" s="97"/>
      <c r="J166" s="97"/>
      <c r="L166" s="97"/>
      <c r="N166" s="97"/>
    </row>
    <row r="167" spans="1:14" ht="12.75" customHeight="1" x14ac:dyDescent="0.25">
      <c r="A167" s="97"/>
      <c r="B167" s="97"/>
      <c r="C167" s="146"/>
      <c r="D167" s="97"/>
      <c r="F167" s="97"/>
      <c r="H167" s="97"/>
      <c r="J167" s="97"/>
      <c r="L167" s="97"/>
      <c r="N167" s="97"/>
    </row>
    <row r="168" spans="1:14" ht="12.75" customHeight="1" x14ac:dyDescent="0.25">
      <c r="A168" s="97"/>
      <c r="B168" s="97"/>
      <c r="C168" s="146"/>
      <c r="D168" s="97"/>
      <c r="F168" s="97"/>
      <c r="H168" s="97"/>
      <c r="J168" s="97"/>
      <c r="L168" s="97"/>
      <c r="N168" s="97"/>
    </row>
    <row r="169" spans="1:14" ht="12.75" customHeight="1" x14ac:dyDescent="0.25">
      <c r="A169" s="97"/>
      <c r="B169" s="97"/>
      <c r="C169" s="146"/>
      <c r="D169" s="97"/>
      <c r="F169" s="97"/>
      <c r="H169" s="97"/>
      <c r="J169" s="97"/>
      <c r="L169" s="97"/>
      <c r="N169" s="97"/>
    </row>
    <row r="170" spans="1:14" ht="12.75" customHeight="1" x14ac:dyDescent="0.25">
      <c r="A170" s="97"/>
      <c r="B170" s="97"/>
      <c r="C170" s="146"/>
      <c r="D170" s="97"/>
      <c r="F170" s="97"/>
      <c r="H170" s="97"/>
      <c r="J170" s="97"/>
      <c r="L170" s="97"/>
      <c r="N170" s="97"/>
    </row>
    <row r="171" spans="1:14" ht="12.75" customHeight="1" x14ac:dyDescent="0.25">
      <c r="A171" s="97"/>
      <c r="B171" s="97"/>
      <c r="C171" s="146"/>
      <c r="D171" s="97"/>
      <c r="F171" s="97"/>
      <c r="H171" s="97"/>
      <c r="J171" s="97"/>
      <c r="L171" s="97"/>
      <c r="N171" s="97"/>
    </row>
    <row r="172" spans="1:14" ht="12.75" customHeight="1" x14ac:dyDescent="0.25">
      <c r="A172" s="97"/>
      <c r="B172" s="97"/>
      <c r="C172" s="146"/>
      <c r="D172" s="97"/>
      <c r="F172" s="97"/>
      <c r="H172" s="97"/>
      <c r="J172" s="97"/>
      <c r="L172" s="97"/>
      <c r="N172" s="97"/>
    </row>
    <row r="173" spans="1:14" ht="12.75" customHeight="1" x14ac:dyDescent="0.25">
      <c r="A173" s="97"/>
      <c r="B173" s="97"/>
      <c r="C173" s="146"/>
      <c r="D173" s="97"/>
      <c r="F173" s="97"/>
      <c r="H173" s="97"/>
      <c r="J173" s="97"/>
      <c r="L173" s="97"/>
      <c r="N173" s="97"/>
    </row>
    <row r="174" spans="1:14" ht="12.75" customHeight="1" x14ac:dyDescent="0.25">
      <c r="A174" s="97"/>
      <c r="B174" s="97"/>
      <c r="C174" s="146"/>
      <c r="D174" s="97"/>
      <c r="F174" s="97"/>
      <c r="H174" s="97"/>
      <c r="J174" s="97"/>
      <c r="L174" s="97"/>
      <c r="N174" s="97"/>
    </row>
    <row r="175" spans="1:14" ht="12.75" customHeight="1" x14ac:dyDescent="0.25">
      <c r="A175" s="97"/>
      <c r="B175" s="97"/>
      <c r="C175" s="146"/>
      <c r="D175" s="97"/>
      <c r="F175" s="97"/>
      <c r="H175" s="97"/>
      <c r="J175" s="97"/>
      <c r="L175" s="97"/>
      <c r="N175" s="97"/>
    </row>
    <row r="176" spans="1:14" ht="12.75" customHeight="1" x14ac:dyDescent="0.25">
      <c r="A176" s="97"/>
      <c r="B176" s="97"/>
      <c r="C176" s="146"/>
      <c r="D176" s="97"/>
      <c r="F176" s="97"/>
      <c r="H176" s="97"/>
      <c r="J176" s="97"/>
      <c r="L176" s="97"/>
      <c r="N176" s="97"/>
    </row>
    <row r="177" spans="1:14" ht="12.75" customHeight="1" x14ac:dyDescent="0.25">
      <c r="A177" s="97"/>
      <c r="B177" s="97"/>
      <c r="C177" s="146"/>
      <c r="D177" s="97"/>
      <c r="F177" s="97"/>
      <c r="H177" s="97"/>
      <c r="J177" s="97"/>
      <c r="L177" s="97"/>
      <c r="N177" s="97"/>
    </row>
    <row r="178" spans="1:14" ht="12.75" customHeight="1" x14ac:dyDescent="0.25">
      <c r="A178" s="97"/>
      <c r="B178" s="97"/>
      <c r="C178" s="146"/>
      <c r="D178" s="97"/>
      <c r="F178" s="97"/>
      <c r="H178" s="97"/>
      <c r="J178" s="97"/>
      <c r="L178" s="97"/>
      <c r="N178" s="97"/>
    </row>
    <row r="179" spans="1:14" ht="12.75" customHeight="1" x14ac:dyDescent="0.25">
      <c r="A179" s="97"/>
      <c r="B179" s="97"/>
      <c r="C179" s="146"/>
      <c r="D179" s="97"/>
      <c r="F179" s="97"/>
      <c r="H179" s="97"/>
      <c r="J179" s="97"/>
      <c r="L179" s="97"/>
      <c r="N179" s="97"/>
    </row>
    <row r="180" spans="1:14" ht="12.75" customHeight="1" x14ac:dyDescent="0.25">
      <c r="A180" s="97"/>
      <c r="B180" s="97"/>
      <c r="C180" s="146"/>
      <c r="D180" s="97"/>
      <c r="F180" s="97"/>
      <c r="H180" s="97"/>
      <c r="J180" s="97"/>
      <c r="L180" s="97"/>
      <c r="N180" s="97"/>
    </row>
    <row r="181" spans="1:14" ht="12.75" customHeight="1" x14ac:dyDescent="0.25">
      <c r="A181" s="97"/>
      <c r="B181" s="97"/>
      <c r="C181" s="146"/>
      <c r="D181" s="97"/>
      <c r="F181" s="97"/>
      <c r="H181" s="97"/>
      <c r="J181" s="97"/>
      <c r="L181" s="97"/>
      <c r="N181" s="97"/>
    </row>
    <row r="182" spans="1:14" ht="12.75" customHeight="1" x14ac:dyDescent="0.25">
      <c r="A182" s="97"/>
      <c r="B182" s="97"/>
      <c r="C182" s="146"/>
      <c r="D182" s="97"/>
      <c r="F182" s="97"/>
      <c r="H182" s="97"/>
      <c r="J182" s="97"/>
      <c r="L182" s="97"/>
      <c r="N182" s="97"/>
    </row>
    <row r="183" spans="1:14" ht="12.75" customHeight="1" x14ac:dyDescent="0.25">
      <c r="A183" s="97"/>
      <c r="B183" s="97"/>
      <c r="C183" s="146"/>
      <c r="D183" s="97"/>
      <c r="F183" s="97"/>
      <c r="H183" s="97"/>
      <c r="J183" s="97"/>
      <c r="L183" s="97"/>
      <c r="N183" s="97"/>
    </row>
    <row r="184" spans="1:14" ht="12.75" customHeight="1" x14ac:dyDescent="0.25">
      <c r="A184" s="97"/>
      <c r="B184" s="97"/>
      <c r="C184" s="146"/>
      <c r="D184" s="97"/>
      <c r="F184" s="97"/>
      <c r="H184" s="97"/>
      <c r="J184" s="97"/>
      <c r="L184" s="97"/>
      <c r="N184" s="97"/>
    </row>
    <row r="185" spans="1:14" ht="12.75" customHeight="1" x14ac:dyDescent="0.25">
      <c r="A185" s="97"/>
      <c r="B185" s="97"/>
      <c r="C185" s="146"/>
      <c r="D185" s="97"/>
      <c r="F185" s="97"/>
      <c r="H185" s="97"/>
      <c r="J185" s="97"/>
      <c r="L185" s="97"/>
      <c r="N185" s="97"/>
    </row>
    <row r="186" spans="1:14" ht="12.75" customHeight="1" x14ac:dyDescent="0.25">
      <c r="A186" s="97"/>
      <c r="B186" s="97"/>
      <c r="C186" s="146"/>
      <c r="D186" s="97"/>
      <c r="F186" s="97"/>
      <c r="H186" s="97"/>
      <c r="J186" s="97"/>
      <c r="L186" s="97"/>
      <c r="N186" s="97"/>
    </row>
    <row r="187" spans="1:14" ht="12.75" customHeight="1" x14ac:dyDescent="0.25">
      <c r="A187" s="97"/>
      <c r="B187" s="97"/>
      <c r="C187" s="146"/>
      <c r="D187" s="97"/>
      <c r="F187" s="97"/>
      <c r="H187" s="97"/>
      <c r="J187" s="97"/>
      <c r="L187" s="97"/>
      <c r="N187" s="97"/>
    </row>
    <row r="188" spans="1:14" ht="12.75" customHeight="1" x14ac:dyDescent="0.25">
      <c r="A188" s="97"/>
      <c r="B188" s="97"/>
      <c r="C188" s="146"/>
      <c r="D188" s="97"/>
      <c r="F188" s="97"/>
      <c r="H188" s="97"/>
      <c r="J188" s="97"/>
      <c r="L188" s="97"/>
      <c r="N188" s="97"/>
    </row>
    <row r="189" spans="1:14" ht="12.75" customHeight="1" x14ac:dyDescent="0.25">
      <c r="A189" s="97"/>
      <c r="B189" s="97"/>
      <c r="C189" s="146"/>
      <c r="D189" s="97"/>
      <c r="F189" s="97"/>
      <c r="H189" s="97"/>
      <c r="J189" s="97"/>
      <c r="L189" s="97"/>
      <c r="N189" s="97"/>
    </row>
    <row r="190" spans="1:14" ht="12.75" customHeight="1" x14ac:dyDescent="0.25">
      <c r="A190" s="97"/>
      <c r="B190" s="97"/>
      <c r="C190" s="146"/>
      <c r="D190" s="97"/>
      <c r="F190" s="97"/>
      <c r="H190" s="97"/>
      <c r="J190" s="97"/>
      <c r="L190" s="97"/>
      <c r="N190" s="97"/>
    </row>
    <row r="191" spans="1:14" ht="12.75" customHeight="1" x14ac:dyDescent="0.25">
      <c r="A191" s="97"/>
      <c r="B191" s="97"/>
      <c r="C191" s="146"/>
    </row>
    <row r="192" spans="1:14" ht="12.75" customHeight="1" x14ac:dyDescent="0.25">
      <c r="A192" s="97"/>
      <c r="B192" s="97"/>
      <c r="C192" s="146"/>
    </row>
    <row r="193" spans="1:3" ht="12.75" customHeight="1" x14ac:dyDescent="0.25">
      <c r="A193" s="97"/>
      <c r="B193" s="97"/>
      <c r="C193" s="146"/>
    </row>
    <row r="194" spans="1:3" ht="12.75" customHeight="1" x14ac:dyDescent="0.25">
      <c r="A194" s="97"/>
      <c r="B194" s="97"/>
      <c r="C194" s="146"/>
    </row>
    <row r="195" spans="1:3" ht="12.75" customHeight="1" x14ac:dyDescent="0.25">
      <c r="A195" s="97"/>
      <c r="B195" s="97"/>
      <c r="C195" s="146"/>
    </row>
    <row r="196" spans="1:3" ht="12.75" customHeight="1" x14ac:dyDescent="0.25">
      <c r="A196" s="97"/>
      <c r="B196" s="97"/>
      <c r="C196" s="146"/>
    </row>
    <row r="197" spans="1:3" ht="12.75" customHeight="1" x14ac:dyDescent="0.25">
      <c r="A197" s="97"/>
      <c r="B197" s="97"/>
      <c r="C197" s="146"/>
    </row>
    <row r="198" spans="1:3" ht="12.75" customHeight="1" x14ac:dyDescent="0.25">
      <c r="A198" s="97"/>
      <c r="B198" s="97"/>
      <c r="C198" s="146"/>
    </row>
    <row r="199" spans="1:3" ht="12.75" customHeight="1" x14ac:dyDescent="0.25">
      <c r="A199" s="97"/>
      <c r="B199" s="97"/>
      <c r="C199" s="146"/>
    </row>
    <row r="200" spans="1:3" ht="12.75" customHeight="1" x14ac:dyDescent="0.25">
      <c r="A200" s="97"/>
      <c r="B200" s="97"/>
      <c r="C200" s="146"/>
    </row>
    <row r="201" spans="1:3" ht="12.75" customHeight="1" x14ac:dyDescent="0.25"/>
  </sheetData>
  <autoFilter ref="CS20:CT20" xr:uid="{F8004750-CF1A-4737-812B-8A2E6F5106F4}">
    <sortState xmlns:xlrd2="http://schemas.microsoft.com/office/spreadsheetml/2017/richdata2" ref="CS21:CT41">
      <sortCondition ref="CT20"/>
    </sortState>
  </autoFilter>
  <mergeCells count="46">
    <mergeCell ref="CO15:CP15"/>
    <mergeCell ref="CA15:CB15"/>
    <mergeCell ref="AI15:AJ15"/>
    <mergeCell ref="CC15:CD15"/>
    <mergeCell ref="BI15:BJ15"/>
    <mergeCell ref="BM15:BN15"/>
    <mergeCell ref="BO15:BP15"/>
    <mergeCell ref="BQ15:BR15"/>
    <mergeCell ref="CI15:CJ15"/>
    <mergeCell ref="CK15:CL15"/>
    <mergeCell ref="CM15:CN15"/>
    <mergeCell ref="BS15:BT15"/>
    <mergeCell ref="BU15:BV15"/>
    <mergeCell ref="BW15:BX15"/>
    <mergeCell ref="BY15:BZ15"/>
    <mergeCell ref="CE15:CF15"/>
    <mergeCell ref="AK15:AL15"/>
    <mergeCell ref="AO15:AP15"/>
    <mergeCell ref="AU15:AV15"/>
    <mergeCell ref="AM15:AN15"/>
    <mergeCell ref="CG15:CH15"/>
    <mergeCell ref="BK15:BL15"/>
    <mergeCell ref="BG15:BH15"/>
    <mergeCell ref="AS15:AT15"/>
    <mergeCell ref="AQ15:AR15"/>
    <mergeCell ref="BE15:BF15"/>
    <mergeCell ref="BC15:BD15"/>
    <mergeCell ref="AY15:AZ15"/>
    <mergeCell ref="AW15:AX15"/>
    <mergeCell ref="BA15:BB15"/>
    <mergeCell ref="K15:L15"/>
    <mergeCell ref="M15:N15"/>
    <mergeCell ref="O15:P15"/>
    <mergeCell ref="C15:D15"/>
    <mergeCell ref="AG15:AH15"/>
    <mergeCell ref="AE15:AF15"/>
    <mergeCell ref="AC15:AD15"/>
    <mergeCell ref="AA15:AB15"/>
    <mergeCell ref="Y15:Z15"/>
    <mergeCell ref="Q15:R15"/>
    <mergeCell ref="E15:F15"/>
    <mergeCell ref="G15:H15"/>
    <mergeCell ref="I15:J15"/>
    <mergeCell ref="S15:T15"/>
    <mergeCell ref="U15:V15"/>
    <mergeCell ref="W15:X15"/>
  </mergeCells>
  <hyperlinks>
    <hyperlink ref="A11" location="índice!B7" display="SERIE: TOTAL DE OCUPADOS FORMALES E INFORMALES POR RAMA DE ACTIVIDAD ECONÓMICA /1 SEGÚN TRIMESTRE" xr:uid="{E8F6E5DC-87BD-4528-BB5B-41E9D83FC6C6}"/>
    <hyperlink ref="A100" r:id="rId1" xr:uid="{C1CC69DB-DA63-4451-B5A9-A885C66B9FCC}"/>
    <hyperlink ref="CS11" location="índice!B7" display="SERIE: TOTAL DE OCUPADOS FORMALES E INFORMALES POR RAMA DE ACTIVIDAD ECONÓMICA /1 SEGÚN TRIMESTRE" xr:uid="{AF08A8E5-2E67-4FEA-85EB-E53FA7AE3B12}"/>
  </hyperlinks>
  <pageMargins left="0.7" right="0.7" top="0.75" bottom="0.75" header="0.3" footer="0.3"/>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9F6F5-3197-416A-A99A-AF27A9311B24}">
  <sheetPr>
    <tabColor rgb="FFE9617B"/>
  </sheetPr>
  <dimension ref="A1:S85"/>
  <sheetViews>
    <sheetView showGridLines="0" topLeftCell="L13" zoomScaleNormal="100" workbookViewId="0"/>
    <sheetView topLeftCell="L2" workbookViewId="1"/>
  </sheetViews>
  <sheetFormatPr baseColWidth="10" defaultColWidth="11.5703125" defaultRowHeight="15" x14ac:dyDescent="0.25"/>
  <cols>
    <col min="1" max="1" width="27.42578125" hidden="1" customWidth="1"/>
    <col min="2" max="2" width="20.28515625" hidden="1" customWidth="1"/>
    <col min="3" max="3" width="6.7109375" hidden="1" customWidth="1"/>
    <col min="4" max="4" width="6.28515625" hidden="1" customWidth="1"/>
    <col min="5" max="5" width="6.5703125" hidden="1" customWidth="1"/>
    <col min="6" max="6" width="7" hidden="1" customWidth="1"/>
    <col min="7" max="7" width="6.42578125" hidden="1" customWidth="1"/>
    <col min="8" max="8" width="6.28515625" hidden="1" customWidth="1"/>
    <col min="9" max="9" width="4.5703125" hidden="1" customWidth="1"/>
    <col min="10" max="10" width="2.5703125" hidden="1" customWidth="1"/>
    <col min="11" max="11" width="11.5703125" hidden="1" customWidth="1"/>
    <col min="12" max="12" width="5.42578125" customWidth="1"/>
    <col min="15" max="15" width="18.28515625" bestFit="1" customWidth="1"/>
    <col min="16" max="16" width="12.42578125" bestFit="1" customWidth="1"/>
    <col min="17" max="17" width="13.7109375" customWidth="1"/>
    <col min="18" max="18" width="14.42578125" bestFit="1" customWidth="1"/>
    <col min="19" max="19" width="19.28515625" customWidth="1"/>
  </cols>
  <sheetData>
    <row r="1" spans="1:13" hidden="1" x14ac:dyDescent="0.25">
      <c r="A1" s="179" t="e">
        <f ca="1">DotStatQuery(B1)</f>
        <v>#NAME?</v>
      </c>
      <c r="B1" s="179"/>
    </row>
    <row r="2" spans="1:13" ht="20.45" customHeight="1" x14ac:dyDescent="0.25">
      <c r="A2" s="178" t="s">
        <v>373</v>
      </c>
    </row>
    <row r="3" spans="1:13" x14ac:dyDescent="0.25">
      <c r="A3" s="625" t="s">
        <v>372</v>
      </c>
      <c r="B3" s="626"/>
      <c r="C3" s="627"/>
      <c r="D3" s="627"/>
      <c r="E3" s="627"/>
      <c r="F3" s="627"/>
      <c r="G3" s="627"/>
      <c r="H3" s="627"/>
      <c r="I3" s="627"/>
      <c r="J3" s="628"/>
      <c r="M3" s="8" t="s">
        <v>573</v>
      </c>
    </row>
    <row r="4" spans="1:13" ht="42" x14ac:dyDescent="0.25">
      <c r="A4" s="629" t="s">
        <v>371</v>
      </c>
      <c r="B4" s="630"/>
      <c r="C4" s="176" t="s">
        <v>5</v>
      </c>
      <c r="D4" s="176" t="s">
        <v>370</v>
      </c>
      <c r="E4" s="176" t="s">
        <v>369</v>
      </c>
      <c r="F4" s="176" t="s">
        <v>368</v>
      </c>
      <c r="G4" s="176" t="s">
        <v>367</v>
      </c>
      <c r="H4" s="176" t="s">
        <v>366</v>
      </c>
      <c r="I4" s="631" t="s">
        <v>364</v>
      </c>
      <c r="J4" s="632"/>
    </row>
    <row r="5" spans="1:13" x14ac:dyDescent="0.25">
      <c r="A5" s="177" t="s">
        <v>365</v>
      </c>
      <c r="B5" s="174" t="s">
        <v>192</v>
      </c>
      <c r="C5" s="175"/>
      <c r="D5" s="175"/>
      <c r="E5" s="175"/>
      <c r="F5" s="175"/>
      <c r="G5" s="175"/>
      <c r="H5" s="175"/>
      <c r="I5" s="631" t="s">
        <v>364</v>
      </c>
      <c r="J5" s="632"/>
    </row>
    <row r="6" spans="1:13" ht="66.599999999999994" customHeight="1" x14ac:dyDescent="0.25">
      <c r="A6" s="171" t="s">
        <v>363</v>
      </c>
      <c r="B6" s="174" t="str">
        <f t="shared" ref="B6:B36" si="0">+IF(VALUE(LEFT(A6,4))&lt;2020,"Promedio 2017-2019",LEFT(A6,4))</f>
        <v>Promedio 2017-2019</v>
      </c>
      <c r="C6" s="172">
        <v>28.53546026089322</v>
      </c>
      <c r="D6" s="172">
        <v>59.47751706102985</v>
      </c>
      <c r="E6" s="172">
        <v>23.32676419111365</v>
      </c>
      <c r="F6" s="172">
        <v>17.627253251108051</v>
      </c>
      <c r="G6" s="172">
        <v>9.5285722653052183</v>
      </c>
      <c r="H6" s="172">
        <v>8.7337402970848306</v>
      </c>
      <c r="I6" s="173" t="s">
        <v>336</v>
      </c>
      <c r="J6" s="172" t="s">
        <v>335</v>
      </c>
    </row>
    <row r="7" spans="1:13" ht="15.75" x14ac:dyDescent="0.25">
      <c r="A7" s="171" t="s">
        <v>362</v>
      </c>
      <c r="B7" s="174" t="str">
        <f t="shared" si="0"/>
        <v>Promedio 2017-2019</v>
      </c>
      <c r="C7" s="168">
        <v>28.956721460342131</v>
      </c>
      <c r="D7" s="168">
        <v>60.04131421908081</v>
      </c>
      <c r="E7" s="168">
        <v>25.95432161025532</v>
      </c>
      <c r="F7" s="168">
        <v>16.992418741666999</v>
      </c>
      <c r="G7" s="168">
        <v>9.3158467730969896</v>
      </c>
      <c r="H7" s="168">
        <v>9.3951224201516848</v>
      </c>
      <c r="I7" s="169" t="s">
        <v>336</v>
      </c>
      <c r="J7" s="168" t="s">
        <v>335</v>
      </c>
    </row>
    <row r="8" spans="1:13" ht="15.75" x14ac:dyDescent="0.25">
      <c r="A8" s="171" t="s">
        <v>361</v>
      </c>
      <c r="B8" s="174" t="str">
        <f t="shared" si="0"/>
        <v>Promedio 2017-2019</v>
      </c>
      <c r="C8" s="172">
        <v>29.476631048234999</v>
      </c>
      <c r="D8" s="172">
        <v>60.326226302517391</v>
      </c>
      <c r="E8" s="172">
        <v>27.15443888329218</v>
      </c>
      <c r="F8" s="172">
        <v>17.399608566493441</v>
      </c>
      <c r="G8" s="172">
        <v>10.988317924287619</v>
      </c>
      <c r="H8" s="172">
        <v>9.7839212674814213</v>
      </c>
      <c r="I8" s="173" t="s">
        <v>336</v>
      </c>
      <c r="J8" s="172" t="s">
        <v>335</v>
      </c>
    </row>
    <row r="9" spans="1:13" ht="15.75" x14ac:dyDescent="0.25">
      <c r="A9" s="171" t="s">
        <v>360</v>
      </c>
      <c r="B9" s="174" t="str">
        <f t="shared" si="0"/>
        <v>Promedio 2017-2019</v>
      </c>
      <c r="C9" s="168">
        <v>29.621877441797601</v>
      </c>
      <c r="D9" s="168">
        <v>60.525311887166168</v>
      </c>
      <c r="E9" s="168">
        <v>29.718783529760302</v>
      </c>
      <c r="F9" s="168">
        <v>17.446728214085091</v>
      </c>
      <c r="G9" s="168">
        <v>10.87922603719854</v>
      </c>
      <c r="H9" s="168">
        <v>10.0414485676353</v>
      </c>
      <c r="I9" s="169" t="s">
        <v>336</v>
      </c>
      <c r="J9" s="168" t="s">
        <v>335</v>
      </c>
    </row>
    <row r="10" spans="1:13" ht="15.75" x14ac:dyDescent="0.25">
      <c r="A10" s="171" t="s">
        <v>359</v>
      </c>
      <c r="B10" s="174" t="str">
        <f t="shared" si="0"/>
        <v>Promedio 2017-2019</v>
      </c>
      <c r="C10" s="172">
        <v>29.078055486010239</v>
      </c>
      <c r="D10" s="172">
        <v>60.275626542482861</v>
      </c>
      <c r="E10" s="172">
        <v>29.404685061807999</v>
      </c>
      <c r="F10" s="172">
        <v>17.676796339758301</v>
      </c>
      <c r="G10" s="172">
        <v>10.751653938493099</v>
      </c>
      <c r="H10" s="172">
        <v>9.6328343424191676</v>
      </c>
      <c r="I10" s="173" t="s">
        <v>336</v>
      </c>
      <c r="J10" s="172" t="s">
        <v>335</v>
      </c>
    </row>
    <row r="11" spans="1:13" ht="15.75" x14ac:dyDescent="0.25">
      <c r="A11" s="171" t="s">
        <v>358</v>
      </c>
      <c r="B11" s="174" t="str">
        <f t="shared" si="0"/>
        <v>Promedio 2017-2019</v>
      </c>
      <c r="C11" s="168">
        <v>28.8784316324356</v>
      </c>
      <c r="D11" s="168">
        <v>60.603888018494636</v>
      </c>
      <c r="E11" s="168">
        <v>31.060288555005499</v>
      </c>
      <c r="F11" s="168">
        <v>17.720072860505269</v>
      </c>
      <c r="G11" s="168">
        <v>9.5246532041471674</v>
      </c>
      <c r="H11" s="168">
        <v>9.5051314805259413</v>
      </c>
      <c r="I11" s="169" t="s">
        <v>336</v>
      </c>
      <c r="J11" s="168" t="s">
        <v>335</v>
      </c>
    </row>
    <row r="12" spans="1:13" ht="15.75" x14ac:dyDescent="0.25">
      <c r="A12" s="171" t="s">
        <v>357</v>
      </c>
      <c r="B12" s="174" t="str">
        <f t="shared" si="0"/>
        <v>Promedio 2017-2019</v>
      </c>
      <c r="C12" s="172">
        <v>28.62599172715813</v>
      </c>
      <c r="D12" s="172">
        <v>60.444099956000599</v>
      </c>
      <c r="E12" s="172">
        <v>29.008544192885932</v>
      </c>
      <c r="F12" s="172">
        <v>17.753559422130088</v>
      </c>
      <c r="G12" s="172">
        <v>9.1999456830364004</v>
      </c>
      <c r="H12" s="172">
        <v>9.0449392936332789</v>
      </c>
      <c r="I12" s="173" t="s">
        <v>336</v>
      </c>
      <c r="J12" s="172" t="s">
        <v>335</v>
      </c>
    </row>
    <row r="13" spans="1:13" ht="15.75" x14ac:dyDescent="0.25">
      <c r="A13" s="171" t="s">
        <v>356</v>
      </c>
      <c r="B13" s="174" t="str">
        <f t="shared" si="0"/>
        <v>Promedio 2017-2019</v>
      </c>
      <c r="C13" s="168">
        <v>28.45559455380965</v>
      </c>
      <c r="D13" s="168">
        <v>60.680479817987568</v>
      </c>
      <c r="E13" s="168">
        <v>27.941581899967289</v>
      </c>
      <c r="F13" s="168">
        <v>17.16042812888335</v>
      </c>
      <c r="G13" s="168">
        <v>9.0153145305618025</v>
      </c>
      <c r="H13" s="168">
        <v>8.7198753480780891</v>
      </c>
      <c r="I13" s="169" t="s">
        <v>336</v>
      </c>
      <c r="J13" s="168" t="s">
        <v>335</v>
      </c>
    </row>
    <row r="14" spans="1:13" ht="15.75" x14ac:dyDescent="0.25">
      <c r="A14" s="171" t="s">
        <v>355</v>
      </c>
      <c r="B14" s="174" t="str">
        <f t="shared" si="0"/>
        <v>Promedio 2017-2019</v>
      </c>
      <c r="C14" s="172">
        <v>28.266910505928891</v>
      </c>
      <c r="D14" s="172">
        <v>60.602529510907253</v>
      </c>
      <c r="E14" s="172">
        <v>25.831890736791131</v>
      </c>
      <c r="F14" s="172">
        <v>16.461171765299529</v>
      </c>
      <c r="G14" s="172">
        <v>8.5751564509794864</v>
      </c>
      <c r="H14" s="172">
        <v>8.6249518037224977</v>
      </c>
      <c r="I14" s="173" t="s">
        <v>336</v>
      </c>
      <c r="J14" s="172" t="s">
        <v>335</v>
      </c>
    </row>
    <row r="15" spans="1:13" ht="15.75" x14ac:dyDescent="0.25">
      <c r="A15" s="171" t="s">
        <v>354</v>
      </c>
      <c r="B15" s="174" t="str">
        <f t="shared" si="0"/>
        <v>Promedio 2017-2019</v>
      </c>
      <c r="C15" s="168">
        <v>28.03207325857079</v>
      </c>
      <c r="D15" s="168">
        <v>60.521408077739991</v>
      </c>
      <c r="E15" s="168">
        <v>26.6923845706546</v>
      </c>
      <c r="F15" s="168">
        <v>15.552593686896691</v>
      </c>
      <c r="G15" s="168">
        <v>7.9767906180145332</v>
      </c>
      <c r="H15" s="168">
        <v>8.5879361790625204</v>
      </c>
      <c r="I15" s="169" t="s">
        <v>336</v>
      </c>
      <c r="J15" s="168" t="s">
        <v>335</v>
      </c>
    </row>
    <row r="16" spans="1:13" ht="15.75" x14ac:dyDescent="0.25">
      <c r="A16" s="171" t="s">
        <v>353</v>
      </c>
      <c r="B16" s="174" t="str">
        <f t="shared" si="0"/>
        <v>Promedio 2017-2019</v>
      </c>
      <c r="C16" s="172">
        <v>27.79422701874109</v>
      </c>
      <c r="D16" s="172">
        <v>60.385864300679103</v>
      </c>
      <c r="E16" s="172">
        <v>27.37733064991269</v>
      </c>
      <c r="F16" s="172">
        <v>16.046110612454839</v>
      </c>
      <c r="G16" s="172">
        <v>6.8647419755915999</v>
      </c>
      <c r="H16" s="172">
        <v>8.2634919313211981</v>
      </c>
      <c r="I16" s="173" t="s">
        <v>336</v>
      </c>
      <c r="J16" s="172" t="s">
        <v>335</v>
      </c>
    </row>
    <row r="17" spans="1:19" ht="15.75" x14ac:dyDescent="0.25">
      <c r="A17" s="171" t="s">
        <v>352</v>
      </c>
      <c r="B17" s="174" t="str">
        <f t="shared" si="0"/>
        <v>Promedio 2017-2019</v>
      </c>
      <c r="C17" s="168">
        <v>27.685020974570829</v>
      </c>
      <c r="D17" s="168">
        <v>60.063845312260753</v>
      </c>
      <c r="E17" s="168">
        <v>26.392256527533021</v>
      </c>
      <c r="F17" s="168">
        <v>16.065555139313751</v>
      </c>
      <c r="G17" s="168">
        <v>6.276493424217179</v>
      </c>
      <c r="H17" s="168">
        <v>8.2054520554891734</v>
      </c>
      <c r="I17" s="169" t="s">
        <v>336</v>
      </c>
      <c r="J17" s="168" t="s">
        <v>335</v>
      </c>
      <c r="M17" s="321" t="s">
        <v>515</v>
      </c>
    </row>
    <row r="18" spans="1:19" ht="7.9" customHeight="1" x14ac:dyDescent="0.25">
      <c r="A18" s="171" t="s">
        <v>351</v>
      </c>
      <c r="B18" s="174" t="str">
        <f t="shared" si="0"/>
        <v>Promedio 2017-2019</v>
      </c>
      <c r="C18" s="168">
        <v>28.55386119181366</v>
      </c>
      <c r="D18" s="168">
        <v>61.169107604710533</v>
      </c>
      <c r="E18" s="168">
        <v>24.823937156156308</v>
      </c>
      <c r="F18" s="168">
        <v>15.647023671445019</v>
      </c>
      <c r="G18" s="168">
        <v>7.2384273558155829</v>
      </c>
      <c r="H18" s="168">
        <v>8.6013710500456853</v>
      </c>
      <c r="I18" s="169" t="s">
        <v>336</v>
      </c>
      <c r="J18" s="168" t="s">
        <v>335</v>
      </c>
    </row>
    <row r="19" spans="1:19" ht="14.65" customHeight="1" x14ac:dyDescent="0.25">
      <c r="A19" s="171" t="s">
        <v>350</v>
      </c>
      <c r="B19" s="174" t="str">
        <f t="shared" si="0"/>
        <v>Promedio 2017-2019</v>
      </c>
      <c r="C19" s="172">
        <v>29.280289800192929</v>
      </c>
      <c r="D19" s="172">
        <v>62.147499876334663</v>
      </c>
      <c r="E19" s="172">
        <v>25.826896570031359</v>
      </c>
      <c r="F19" s="172">
        <v>15.34942491416704</v>
      </c>
      <c r="G19" s="172">
        <v>8.85865038226253</v>
      </c>
      <c r="H19" s="172">
        <v>8.8101121748428639</v>
      </c>
      <c r="I19" s="173" t="s">
        <v>336</v>
      </c>
      <c r="J19" s="172" t="s">
        <v>335</v>
      </c>
      <c r="N19" s="287"/>
    </row>
    <row r="20" spans="1:19" ht="15.75" x14ac:dyDescent="0.25">
      <c r="A20" s="171" t="s">
        <v>349</v>
      </c>
      <c r="B20" s="174" t="str">
        <f t="shared" si="0"/>
        <v>Promedio 2017-2019</v>
      </c>
      <c r="C20" s="168">
        <v>29.097000743552169</v>
      </c>
      <c r="D20" s="168">
        <v>62.187241568198061</v>
      </c>
      <c r="E20" s="168">
        <v>26.025062252812351</v>
      </c>
      <c r="F20" s="168">
        <v>16.090570146350672</v>
      </c>
      <c r="G20" s="168">
        <v>10.24174567592981</v>
      </c>
      <c r="H20" s="168">
        <v>8.7753908138741554</v>
      </c>
      <c r="I20" s="169" t="s">
        <v>336</v>
      </c>
      <c r="J20" s="168" t="s">
        <v>335</v>
      </c>
    </row>
    <row r="21" spans="1:19" ht="15.75" x14ac:dyDescent="0.25">
      <c r="A21" s="171" t="s">
        <v>348</v>
      </c>
      <c r="B21" s="174" t="str">
        <f t="shared" si="0"/>
        <v>Promedio 2017-2019</v>
      </c>
      <c r="C21" s="172">
        <v>28.597840849971981</v>
      </c>
      <c r="D21" s="172">
        <v>61.286032398116319</v>
      </c>
      <c r="E21" s="172">
        <v>26.22901378573432</v>
      </c>
      <c r="F21" s="172">
        <v>17.02573075349391</v>
      </c>
      <c r="G21" s="172">
        <v>10.38540790085554</v>
      </c>
      <c r="H21" s="172">
        <v>8.4336627377482767</v>
      </c>
      <c r="I21" s="173" t="s">
        <v>336</v>
      </c>
      <c r="J21" s="172" t="s">
        <v>335</v>
      </c>
    </row>
    <row r="22" spans="1:19" ht="15.75" x14ac:dyDescent="0.25">
      <c r="A22" s="171" t="s">
        <v>347</v>
      </c>
      <c r="B22" s="174">
        <v>2019</v>
      </c>
      <c r="C22" s="168">
        <v>27.901697523572508</v>
      </c>
      <c r="D22" s="168">
        <v>59.902762100210722</v>
      </c>
      <c r="E22" s="168">
        <v>26.29634727968957</v>
      </c>
      <c r="F22" s="168">
        <v>18.179527267699608</v>
      </c>
      <c r="G22" s="168">
        <v>9.9498579282211743</v>
      </c>
      <c r="H22" s="168">
        <v>7.9463839356399264</v>
      </c>
      <c r="I22" s="169" t="s">
        <v>336</v>
      </c>
      <c r="J22" s="168" t="s">
        <v>335</v>
      </c>
      <c r="M22" s="27"/>
      <c r="N22" s="27" t="s">
        <v>5</v>
      </c>
      <c r="O22" s="27" t="s">
        <v>370</v>
      </c>
      <c r="P22" s="27" t="s">
        <v>369</v>
      </c>
      <c r="Q22" s="27" t="s">
        <v>368</v>
      </c>
      <c r="R22" s="27" t="s">
        <v>367</v>
      </c>
      <c r="S22" s="27" t="s">
        <v>366</v>
      </c>
    </row>
    <row r="23" spans="1:19" ht="15.75" x14ac:dyDescent="0.25">
      <c r="A23" s="171" t="s">
        <v>346</v>
      </c>
      <c r="B23" s="174">
        <v>2019</v>
      </c>
      <c r="C23" s="172">
        <v>27.919277455259479</v>
      </c>
      <c r="D23" s="172">
        <v>60.280874774338237</v>
      </c>
      <c r="E23" s="172">
        <v>26.791958238681602</v>
      </c>
      <c r="F23" s="172">
        <v>17.78446113452031</v>
      </c>
      <c r="G23" s="172">
        <v>8.693541542009692</v>
      </c>
      <c r="H23" s="172">
        <v>7.7575205054192162</v>
      </c>
      <c r="I23" s="173" t="s">
        <v>336</v>
      </c>
      <c r="J23" s="172" t="s">
        <v>335</v>
      </c>
      <c r="M23" s="27">
        <v>2019</v>
      </c>
      <c r="N23" s="70">
        <f t="shared" ref="N23:S27" si="1">+SUMIFS(C$6:C$82,$B$6:$B$82,$M23)/(COUNTIFS($B$6:$B$82,$M23)*100)</f>
        <v>0.28377508045946875</v>
      </c>
      <c r="O23" s="70">
        <f t="shared" si="1"/>
        <v>0.6096432683556523</v>
      </c>
      <c r="P23" s="70">
        <f t="shared" si="1"/>
        <v>0.25931005566790216</v>
      </c>
      <c r="Q23" s="70">
        <f t="shared" si="1"/>
        <v>0.16304433536317206</v>
      </c>
      <c r="R23" s="70">
        <f t="shared" si="1"/>
        <v>8.495217019813707E-2</v>
      </c>
      <c r="S23" s="70">
        <f t="shared" si="1"/>
        <v>8.2050009960098313E-2</v>
      </c>
    </row>
    <row r="24" spans="1:19" ht="15.75" x14ac:dyDescent="0.25">
      <c r="A24" s="171" t="s">
        <v>345</v>
      </c>
      <c r="B24" s="174">
        <v>2019</v>
      </c>
      <c r="C24" s="168">
        <v>28.016924326024242</v>
      </c>
      <c r="D24" s="168">
        <v>60.289630769172263</v>
      </c>
      <c r="E24" s="168">
        <v>26.103896499459921</v>
      </c>
      <c r="F24" s="168">
        <v>17.699553487358379</v>
      </c>
      <c r="G24" s="168">
        <v>8.2349117715813147</v>
      </c>
      <c r="H24" s="168">
        <v>7.5010657845033286</v>
      </c>
      <c r="I24" s="169" t="s">
        <v>336</v>
      </c>
      <c r="J24" s="168" t="s">
        <v>335</v>
      </c>
      <c r="M24" s="27">
        <v>2020</v>
      </c>
      <c r="N24" s="70">
        <f t="shared" si="1"/>
        <v>0.25357111160756107</v>
      </c>
      <c r="O24" s="70">
        <f t="shared" si="1"/>
        <v>0.58558359836269436</v>
      </c>
      <c r="P24" s="70">
        <f t="shared" si="1"/>
        <v>0.2310319493480327</v>
      </c>
      <c r="Q24" s="70">
        <f t="shared" si="1"/>
        <v>0.1236453748595726</v>
      </c>
      <c r="R24" s="70">
        <f t="shared" si="1"/>
        <v>7.1044196967810294E-2</v>
      </c>
      <c r="S24" s="70">
        <f t="shared" si="1"/>
        <v>8.392563307064424E-2</v>
      </c>
    </row>
    <row r="25" spans="1:19" ht="15.75" x14ac:dyDescent="0.25">
      <c r="A25" s="171" t="s">
        <v>344</v>
      </c>
      <c r="B25" s="174">
        <v>2019</v>
      </c>
      <c r="C25" s="172">
        <v>28.011587510153259</v>
      </c>
      <c r="D25" s="172">
        <v>60.831576501319383</v>
      </c>
      <c r="E25" s="172">
        <v>26.131316603547571</v>
      </c>
      <c r="F25" s="172">
        <v>16.783100403628399</v>
      </c>
      <c r="G25" s="172">
        <v>7.4923924687792374</v>
      </c>
      <c r="H25" s="172">
        <v>7.2371440798696218</v>
      </c>
      <c r="I25" s="173" t="s">
        <v>336</v>
      </c>
      <c r="J25" s="172" t="s">
        <v>335</v>
      </c>
      <c r="M25" s="27">
        <v>2021</v>
      </c>
      <c r="N25" s="70">
        <f t="shared" si="1"/>
        <v>0.27129003128922125</v>
      </c>
      <c r="O25" s="70">
        <f t="shared" si="1"/>
        <v>0.63462404562352359</v>
      </c>
      <c r="P25" s="70">
        <f t="shared" si="1"/>
        <v>0.22890076217842051</v>
      </c>
      <c r="Q25" s="70">
        <f t="shared" si="1"/>
        <v>0.12172054449329285</v>
      </c>
      <c r="R25" s="70">
        <f t="shared" si="1"/>
        <v>6.3057121718863171E-2</v>
      </c>
      <c r="S25" s="70">
        <f t="shared" si="1"/>
        <v>7.6398034896080616E-2</v>
      </c>
    </row>
    <row r="26" spans="1:19" ht="15.75" x14ac:dyDescent="0.25">
      <c r="A26" s="171" t="s">
        <v>343</v>
      </c>
      <c r="B26" s="174">
        <v>2019</v>
      </c>
      <c r="C26" s="168">
        <v>28.137590667591532</v>
      </c>
      <c r="D26" s="168">
        <v>60.735656181997797</v>
      </c>
      <c r="E26" s="168">
        <v>25.34751300281982</v>
      </c>
      <c r="F26" s="168">
        <v>16.498107777528169</v>
      </c>
      <c r="G26" s="168">
        <v>7.5408387542171846</v>
      </c>
      <c r="H26" s="168">
        <v>7.6110524239910093</v>
      </c>
      <c r="I26" s="169" t="s">
        <v>336</v>
      </c>
      <c r="J26" s="168" t="s">
        <v>335</v>
      </c>
      <c r="M26" s="27">
        <v>2022</v>
      </c>
      <c r="N26" s="70">
        <f t="shared" si="1"/>
        <v>0.27221251079931169</v>
      </c>
      <c r="O26" s="70">
        <f t="shared" si="1"/>
        <v>0.63396979229916306</v>
      </c>
      <c r="P26" s="70">
        <f t="shared" si="1"/>
        <v>0.2258686377481097</v>
      </c>
      <c r="Q26" s="70">
        <f t="shared" si="1"/>
        <v>0.13444781950206991</v>
      </c>
      <c r="R26" s="70">
        <f t="shared" si="1"/>
        <v>6.2855752634378745E-2</v>
      </c>
      <c r="S26" s="70">
        <f t="shared" si="1"/>
        <v>7.4057502016280835E-2</v>
      </c>
    </row>
    <row r="27" spans="1:19" ht="15.75" x14ac:dyDescent="0.25">
      <c r="A27" s="171" t="s">
        <v>342</v>
      </c>
      <c r="B27" s="174">
        <v>2019</v>
      </c>
      <c r="C27" s="172">
        <v>28.10959468240209</v>
      </c>
      <c r="D27" s="172">
        <v>61.088129327013149</v>
      </c>
      <c r="E27" s="172">
        <v>24.32685386548653</v>
      </c>
      <c r="F27" s="172">
        <v>14.524278508202</v>
      </c>
      <c r="G27" s="172">
        <v>7.6849040683592369</v>
      </c>
      <c r="H27" s="172">
        <v>8.4392708685334448</v>
      </c>
      <c r="I27" s="173" t="s">
        <v>336</v>
      </c>
      <c r="J27" s="172" t="s">
        <v>335</v>
      </c>
      <c r="M27" s="27">
        <v>2023</v>
      </c>
      <c r="N27" s="70">
        <f t="shared" si="1"/>
        <v>0.27210730921825149</v>
      </c>
      <c r="O27" s="70">
        <f t="shared" si="1"/>
        <v>0.62328879638116541</v>
      </c>
      <c r="P27" s="70">
        <f t="shared" si="1"/>
        <v>0.25087724719532778</v>
      </c>
      <c r="Q27" s="70">
        <f t="shared" si="1"/>
        <v>0.14311341470606861</v>
      </c>
      <c r="R27" s="70">
        <f t="shared" si="1"/>
        <v>6.1248747201484786E-2</v>
      </c>
      <c r="S27" s="70">
        <f t="shared" si="1"/>
        <v>7.0334802492946963E-2</v>
      </c>
    </row>
    <row r="28" spans="1:19" ht="15.75" x14ac:dyDescent="0.25">
      <c r="A28" s="171" t="s">
        <v>341</v>
      </c>
      <c r="B28" s="174">
        <v>2019</v>
      </c>
      <c r="C28" s="168">
        <v>28.223688113217651</v>
      </c>
      <c r="D28" s="168">
        <v>60.705418567706317</v>
      </c>
      <c r="E28" s="168">
        <v>25.052622545881299</v>
      </c>
      <c r="F28" s="168">
        <v>14.21594110858366</v>
      </c>
      <c r="G28" s="168">
        <v>7.956501943736237</v>
      </c>
      <c r="H28" s="168">
        <v>8.9600601894739267</v>
      </c>
      <c r="I28" s="169" t="s">
        <v>336</v>
      </c>
      <c r="J28" s="168" t="s">
        <v>335</v>
      </c>
    </row>
    <row r="29" spans="1:19" ht="15.75" x14ac:dyDescent="0.25">
      <c r="A29" s="171" t="s">
        <v>340</v>
      </c>
      <c r="B29" s="174">
        <v>2019</v>
      </c>
      <c r="C29" s="172">
        <v>28.104755089342358</v>
      </c>
      <c r="D29" s="172">
        <v>61.06440710651092</v>
      </c>
      <c r="E29" s="172">
        <v>24.190615092753578</v>
      </c>
      <c r="F29" s="172">
        <v>13.197301944854949</v>
      </c>
      <c r="G29" s="172">
        <v>8.3875449240282016</v>
      </c>
      <c r="H29" s="172">
        <v>8.6600542286341238</v>
      </c>
      <c r="I29" s="173" t="s">
        <v>336</v>
      </c>
      <c r="J29" s="172" t="s">
        <v>335</v>
      </c>
    </row>
    <row r="30" spans="1:19" ht="15.75" x14ac:dyDescent="0.25">
      <c r="A30" s="171" t="s">
        <v>339</v>
      </c>
      <c r="B30" s="174">
        <v>2019</v>
      </c>
      <c r="C30" s="168">
        <v>28.56330625011153</v>
      </c>
      <c r="D30" s="168">
        <v>61.703846061727972</v>
      </c>
      <c r="E30" s="168">
        <v>26.452706987364241</v>
      </c>
      <c r="F30" s="168">
        <v>14.167588581853391</v>
      </c>
      <c r="G30" s="168">
        <v>8.8584897989016902</v>
      </c>
      <c r="H30" s="168">
        <v>8.2712392530548975</v>
      </c>
      <c r="I30" s="169" t="s">
        <v>336</v>
      </c>
      <c r="J30" s="168" t="s">
        <v>335</v>
      </c>
    </row>
    <row r="31" spans="1:19" ht="15.75" x14ac:dyDescent="0.25">
      <c r="A31" s="171" t="s">
        <v>338</v>
      </c>
      <c r="B31" s="174">
        <v>2019</v>
      </c>
      <c r="C31" s="172">
        <v>29.086933852981879</v>
      </c>
      <c r="D31" s="172">
        <v>62.240974811791503</v>
      </c>
      <c r="E31" s="172">
        <v>26.087641981342809</v>
      </c>
      <c r="F31" s="172">
        <v>16.621119413158841</v>
      </c>
      <c r="G31" s="172">
        <v>8.9687639119046523</v>
      </c>
      <c r="H31" s="172">
        <v>8.4786130204514425</v>
      </c>
      <c r="I31" s="173" t="s">
        <v>336</v>
      </c>
      <c r="J31" s="172" t="s">
        <v>335</v>
      </c>
    </row>
    <row r="32" spans="1:19" ht="15.75" x14ac:dyDescent="0.25">
      <c r="A32" s="171" t="s">
        <v>337</v>
      </c>
      <c r="B32" s="174">
        <v>2019</v>
      </c>
      <c r="C32" s="168">
        <v>29.308704573064809</v>
      </c>
      <c r="D32" s="168">
        <v>62.691642786374821</v>
      </c>
      <c r="E32" s="168">
        <v>27.646777591465909</v>
      </c>
      <c r="F32" s="168">
        <v>17.795898126001202</v>
      </c>
      <c r="G32" s="168">
        <v>9.1618919093278368</v>
      </c>
      <c r="H32" s="168">
        <v>8.6899143954644842</v>
      </c>
      <c r="I32" s="169" t="s">
        <v>336</v>
      </c>
      <c r="J32" s="168" t="s">
        <v>335</v>
      </c>
    </row>
    <row r="33" spans="1:10" ht="15.75" x14ac:dyDescent="0.25">
      <c r="A33" s="171" t="s">
        <v>334</v>
      </c>
      <c r="B33" s="174">
        <v>2019</v>
      </c>
      <c r="C33" s="172">
        <v>29.14603650764116</v>
      </c>
      <c r="D33" s="172">
        <v>60.037003038619638</v>
      </c>
      <c r="E33" s="172">
        <v>26.74381711298971</v>
      </c>
      <c r="F33" s="172">
        <v>18.18632468241756</v>
      </c>
      <c r="G33" s="172">
        <v>9.0129652166980261</v>
      </c>
      <c r="H33" s="172">
        <v>8.9076932670825428</v>
      </c>
      <c r="I33" s="173" t="s">
        <v>192</v>
      </c>
      <c r="J33" s="172">
        <v>29.95087945340153</v>
      </c>
    </row>
    <row r="34" spans="1:10" ht="15.75" x14ac:dyDescent="0.25">
      <c r="A34" s="171" t="s">
        <v>333</v>
      </c>
      <c r="B34" s="174" t="str">
        <f t="shared" si="0"/>
        <v>2020</v>
      </c>
      <c r="C34" s="168">
        <v>29.024479775470731</v>
      </c>
      <c r="D34" s="168">
        <v>59.417219672526073</v>
      </c>
      <c r="E34" s="168">
        <v>27.019439058600721</v>
      </c>
      <c r="F34" s="168">
        <v>16.863360106648411</v>
      </c>
      <c r="G34" s="168">
        <v>9.2042171653793847</v>
      </c>
      <c r="H34" s="168">
        <v>8.8363799880064189</v>
      </c>
      <c r="I34" s="169" t="s">
        <v>192</v>
      </c>
      <c r="J34" s="168">
        <v>27.634098745663461</v>
      </c>
    </row>
    <row r="35" spans="1:10" ht="15.75" x14ac:dyDescent="0.25">
      <c r="A35" s="171" t="s">
        <v>332</v>
      </c>
      <c r="B35" s="174" t="str">
        <f t="shared" si="0"/>
        <v>2020</v>
      </c>
      <c r="C35" s="172">
        <v>28.85632957916361</v>
      </c>
      <c r="D35" s="172">
        <v>58.471042595063558</v>
      </c>
      <c r="E35" s="172">
        <v>28.046761414344871</v>
      </c>
      <c r="F35" s="172">
        <v>17.612161070666779</v>
      </c>
      <c r="G35" s="172">
        <v>8.6479346356040327</v>
      </c>
      <c r="H35" s="172">
        <v>8.5796528438023163</v>
      </c>
      <c r="I35" s="173" t="s">
        <v>192</v>
      </c>
      <c r="J35" s="172">
        <v>25.609329462367079</v>
      </c>
    </row>
    <row r="36" spans="1:10" ht="15.75" x14ac:dyDescent="0.25">
      <c r="A36" s="171" t="s">
        <v>331</v>
      </c>
      <c r="B36" s="174" t="str">
        <f t="shared" si="0"/>
        <v>2020</v>
      </c>
      <c r="C36" s="168">
        <v>26.30579168315608</v>
      </c>
      <c r="D36" s="168">
        <v>57.103440938044571</v>
      </c>
      <c r="E36" s="168">
        <v>25.4385517338727</v>
      </c>
      <c r="F36" s="168">
        <v>14.81344917448402</v>
      </c>
      <c r="G36" s="168">
        <v>7.8659636343215587</v>
      </c>
      <c r="H36" s="168">
        <v>8.1115433976172611</v>
      </c>
      <c r="I36" s="169" t="s">
        <v>192</v>
      </c>
      <c r="J36" s="168">
        <v>22.364808701512938</v>
      </c>
    </row>
    <row r="37" spans="1:10" ht="15.75" x14ac:dyDescent="0.25">
      <c r="A37" s="171" t="s">
        <v>330</v>
      </c>
      <c r="B37" s="174" t="str">
        <f t="shared" ref="B37:B68" si="2">+IF(VALUE(LEFT(A37,4))&lt;2020,"Promedio 2017-2019",LEFT(A37,4))</f>
        <v>2020</v>
      </c>
      <c r="C37" s="172">
        <v>23.54817275578019</v>
      </c>
      <c r="D37" s="172">
        <v>55.34137178315499</v>
      </c>
      <c r="E37" s="172">
        <v>23.141455905875631</v>
      </c>
      <c r="F37" s="172">
        <v>10.815587095859099</v>
      </c>
      <c r="G37" s="172">
        <v>6.8954673185948678</v>
      </c>
      <c r="H37" s="172">
        <v>7.5218352473595953</v>
      </c>
      <c r="I37" s="173" t="s">
        <v>192</v>
      </c>
      <c r="J37" s="172">
        <v>19.87208215106666</v>
      </c>
    </row>
    <row r="38" spans="1:10" ht="15.75" x14ac:dyDescent="0.25">
      <c r="A38" s="171" t="s">
        <v>329</v>
      </c>
      <c r="B38" s="174" t="str">
        <f t="shared" si="2"/>
        <v>2020</v>
      </c>
      <c r="C38" s="168">
        <v>22.36206129210515</v>
      </c>
      <c r="D38" s="168">
        <v>55.11106467276462</v>
      </c>
      <c r="E38" s="168">
        <v>20.018824322607319</v>
      </c>
      <c r="F38" s="168">
        <v>8.9784026770096705</v>
      </c>
      <c r="G38" s="168">
        <v>6.9888877517045032</v>
      </c>
      <c r="H38" s="168">
        <v>7.9642392607592818</v>
      </c>
      <c r="I38" s="169" t="s">
        <v>192</v>
      </c>
      <c r="J38" s="168">
        <v>19.727776983313881</v>
      </c>
    </row>
    <row r="39" spans="1:10" ht="15.75" x14ac:dyDescent="0.25">
      <c r="A39" s="171" t="s">
        <v>328</v>
      </c>
      <c r="B39" s="174" t="str">
        <f t="shared" si="2"/>
        <v>2020</v>
      </c>
      <c r="C39" s="172">
        <v>22.305122108139081</v>
      </c>
      <c r="D39" s="172">
        <v>56.100654437187927</v>
      </c>
      <c r="E39" s="172">
        <v>22.36254255328792</v>
      </c>
      <c r="F39" s="172">
        <v>8.1459592343270959</v>
      </c>
      <c r="G39" s="172">
        <v>6.8919668158959819</v>
      </c>
      <c r="H39" s="172">
        <v>8.0662128711172212</v>
      </c>
      <c r="I39" s="173" t="s">
        <v>192</v>
      </c>
      <c r="J39" s="172">
        <v>20.316477399056691</v>
      </c>
    </row>
    <row r="40" spans="1:10" ht="15.75" x14ac:dyDescent="0.25">
      <c r="A40" s="171" t="s">
        <v>327</v>
      </c>
      <c r="B40" s="174" t="str">
        <f t="shared" si="2"/>
        <v>2020</v>
      </c>
      <c r="C40" s="168">
        <v>22.528965862204139</v>
      </c>
      <c r="D40" s="168">
        <v>55.869170919233348</v>
      </c>
      <c r="E40" s="168">
        <v>20.582973724959061</v>
      </c>
      <c r="F40" s="168">
        <v>9.4596387636635786</v>
      </c>
      <c r="G40" s="168">
        <v>6.4148032184496984</v>
      </c>
      <c r="H40" s="168">
        <v>8.2425457047901407</v>
      </c>
      <c r="I40" s="169" t="s">
        <v>192</v>
      </c>
      <c r="J40" s="168">
        <v>22.091454277459469</v>
      </c>
    </row>
    <row r="41" spans="1:10" ht="15.75" x14ac:dyDescent="0.25">
      <c r="A41" s="171" t="s">
        <v>326</v>
      </c>
      <c r="B41" s="174" t="str">
        <f t="shared" si="2"/>
        <v>2020</v>
      </c>
      <c r="C41" s="172">
        <v>23.488614350308389</v>
      </c>
      <c r="D41" s="172">
        <v>57.676483698114737</v>
      </c>
      <c r="E41" s="172">
        <v>21.286996352509281</v>
      </c>
      <c r="F41" s="172">
        <v>9.928933685254643</v>
      </c>
      <c r="G41" s="172">
        <v>5.7906049814566201</v>
      </c>
      <c r="H41" s="172">
        <v>8.1470240394277411</v>
      </c>
      <c r="I41" s="173" t="s">
        <v>192</v>
      </c>
      <c r="J41" s="172">
        <v>24.666247959075331</v>
      </c>
    </row>
    <row r="42" spans="1:10" ht="15.75" x14ac:dyDescent="0.25">
      <c r="A42" s="171" t="s">
        <v>325</v>
      </c>
      <c r="B42" s="174" t="str">
        <f t="shared" si="2"/>
        <v>2020</v>
      </c>
      <c r="C42" s="168">
        <v>25.122065194892929</v>
      </c>
      <c r="D42" s="168">
        <v>60.039613929053772</v>
      </c>
      <c r="E42" s="168">
        <v>20.542637640852799</v>
      </c>
      <c r="F42" s="168">
        <v>12.10175111002884</v>
      </c>
      <c r="G42" s="168">
        <v>5.6753540497165291</v>
      </c>
      <c r="H42" s="168">
        <v>8.632086028682135</v>
      </c>
      <c r="I42" s="169" t="s">
        <v>192</v>
      </c>
      <c r="J42" s="168">
        <v>24.95222307002728</v>
      </c>
    </row>
    <row r="43" spans="1:10" ht="15.75" x14ac:dyDescent="0.25">
      <c r="A43" s="171" t="s">
        <v>324</v>
      </c>
      <c r="B43" s="174" t="str">
        <f t="shared" si="2"/>
        <v>2020</v>
      </c>
      <c r="C43" s="172">
        <v>26.681234348360409</v>
      </c>
      <c r="D43" s="172">
        <v>62.278987008398957</v>
      </c>
      <c r="E43" s="172">
        <v>22.00346746869949</v>
      </c>
      <c r="F43" s="172">
        <v>12.67662491308265</v>
      </c>
      <c r="G43" s="172">
        <v>6.7518803538905603</v>
      </c>
      <c r="H43" s="172">
        <v>8.9818237632999214</v>
      </c>
      <c r="I43" s="173" t="s">
        <v>192</v>
      </c>
      <c r="J43" s="172">
        <v>26.275735345009949</v>
      </c>
    </row>
    <row r="44" spans="1:10" ht="15.75" x14ac:dyDescent="0.25">
      <c r="A44" s="171" t="s">
        <v>323</v>
      </c>
      <c r="B44" s="174" t="str">
        <f t="shared" si="2"/>
        <v>2020</v>
      </c>
      <c r="C44" s="168">
        <v>26.977950657301498</v>
      </c>
      <c r="D44" s="168">
        <v>62.726996751738263</v>
      </c>
      <c r="E44" s="168">
        <v>22.811151086456888</v>
      </c>
      <c r="F44" s="168">
        <v>13.15789027318511</v>
      </c>
      <c r="G44" s="168">
        <v>6.9464300723222641</v>
      </c>
      <c r="H44" s="168">
        <v>8.9370159158478053</v>
      </c>
      <c r="I44" s="169" t="s">
        <v>192</v>
      </c>
      <c r="J44" s="168">
        <v>25.63512306553767</v>
      </c>
    </row>
    <row r="45" spans="1:10" ht="15.75" x14ac:dyDescent="0.25">
      <c r="A45" s="171" t="s">
        <v>322</v>
      </c>
      <c r="B45" s="174" t="str">
        <f t="shared" si="2"/>
        <v>2020</v>
      </c>
      <c r="C45" s="172">
        <v>27.08454632219118</v>
      </c>
      <c r="D45" s="172">
        <v>62.564271629952522</v>
      </c>
      <c r="E45" s="172">
        <v>23.983537955572579</v>
      </c>
      <c r="F45" s="172">
        <v>13.82069172727722</v>
      </c>
      <c r="G45" s="172">
        <v>7.17952636403637</v>
      </c>
      <c r="H45" s="172">
        <v>8.6904006240632636</v>
      </c>
      <c r="I45" s="173" t="s">
        <v>192</v>
      </c>
      <c r="J45" s="172">
        <v>25.200120349493769</v>
      </c>
    </row>
    <row r="46" spans="1:10" ht="15.75" x14ac:dyDescent="0.25">
      <c r="A46" s="171" t="s">
        <v>321</v>
      </c>
      <c r="B46" s="174" t="str">
        <f t="shared" si="2"/>
        <v>2021</v>
      </c>
      <c r="C46" s="168">
        <v>26.460219806022</v>
      </c>
      <c r="D46" s="168">
        <v>61.585498076514703</v>
      </c>
      <c r="E46" s="168">
        <v>24.687420694325599</v>
      </c>
      <c r="F46" s="168">
        <v>14.420453062683199</v>
      </c>
      <c r="G46" s="168">
        <v>6.3375504700201404</v>
      </c>
      <c r="H46" s="168">
        <v>7.6680388850198602</v>
      </c>
      <c r="I46" s="169" t="s">
        <v>192</v>
      </c>
      <c r="J46" s="168">
        <v>24.6531372627929</v>
      </c>
    </row>
    <row r="47" spans="1:10" ht="15.75" x14ac:dyDescent="0.25">
      <c r="A47" s="171" t="s">
        <v>320</v>
      </c>
      <c r="B47" s="174" t="str">
        <f t="shared" si="2"/>
        <v>2021</v>
      </c>
      <c r="C47" s="172">
        <v>26.687243503725501</v>
      </c>
      <c r="D47" s="172">
        <v>62.648870113509098</v>
      </c>
      <c r="E47" s="172">
        <v>23.9549680505054</v>
      </c>
      <c r="F47" s="172">
        <v>14.479411948783399</v>
      </c>
      <c r="G47" s="172">
        <v>6.4777330523919101</v>
      </c>
      <c r="H47" s="172">
        <v>7.3337077140099103</v>
      </c>
      <c r="I47" s="173" t="s">
        <v>192</v>
      </c>
      <c r="J47" s="172">
        <v>22.999812064712401</v>
      </c>
    </row>
    <row r="48" spans="1:10" ht="15.75" x14ac:dyDescent="0.25">
      <c r="A48" s="171" t="s">
        <v>319</v>
      </c>
      <c r="B48" s="174" t="str">
        <f t="shared" si="2"/>
        <v>2021</v>
      </c>
      <c r="C48" s="168">
        <v>26.2033926310915</v>
      </c>
      <c r="D48" s="168">
        <v>62.773559789110003</v>
      </c>
      <c r="E48" s="168">
        <v>21.349011192565499</v>
      </c>
      <c r="F48" s="168">
        <v>12.938692912377499</v>
      </c>
      <c r="G48" s="168">
        <v>6.2640036584444303</v>
      </c>
      <c r="H48" s="168">
        <v>6.9043922094069003</v>
      </c>
      <c r="I48" s="169" t="s">
        <v>192</v>
      </c>
      <c r="J48" s="168">
        <v>23.4919630121918</v>
      </c>
    </row>
    <row r="49" spans="1:10" ht="15.75" x14ac:dyDescent="0.25">
      <c r="A49" s="171" t="s">
        <v>318</v>
      </c>
      <c r="B49" s="174" t="str">
        <f t="shared" si="2"/>
        <v>2021</v>
      </c>
      <c r="C49" s="172">
        <v>26.103581802497601</v>
      </c>
      <c r="D49" s="172">
        <v>62.632183619636301</v>
      </c>
      <c r="E49" s="172">
        <v>20.716700672767999</v>
      </c>
      <c r="F49" s="172">
        <v>11.5783901696225</v>
      </c>
      <c r="G49" s="172">
        <v>6.43248964618616</v>
      </c>
      <c r="H49" s="172">
        <v>7.4105252603080602</v>
      </c>
      <c r="I49" s="173" t="s">
        <v>192</v>
      </c>
      <c r="J49" s="172">
        <v>22.4592796640387</v>
      </c>
    </row>
    <row r="50" spans="1:10" ht="15.75" x14ac:dyDescent="0.25">
      <c r="A50" s="171" t="s">
        <v>317</v>
      </c>
      <c r="B50" s="174" t="str">
        <f t="shared" si="2"/>
        <v>2021</v>
      </c>
      <c r="C50" s="168">
        <v>25.9716747650412</v>
      </c>
      <c r="D50" s="168">
        <v>62.155365517040302</v>
      </c>
      <c r="E50" s="168">
        <v>21.599278952553501</v>
      </c>
      <c r="F50" s="168">
        <v>10.418015722312999</v>
      </c>
      <c r="G50" s="168">
        <v>5.9068742215677101</v>
      </c>
      <c r="H50" s="168">
        <v>7.5585649323130299</v>
      </c>
      <c r="I50" s="169" t="s">
        <v>192</v>
      </c>
      <c r="J50" s="168">
        <v>25.089585431200199</v>
      </c>
    </row>
    <row r="51" spans="1:10" ht="15.75" x14ac:dyDescent="0.25">
      <c r="A51" s="171" t="s">
        <v>316</v>
      </c>
      <c r="B51" s="174" t="str">
        <f t="shared" si="2"/>
        <v>2021</v>
      </c>
      <c r="C51" s="172">
        <v>26.898864808689201</v>
      </c>
      <c r="D51" s="172">
        <v>63.272851882881398</v>
      </c>
      <c r="E51" s="172">
        <v>23.556859910701402</v>
      </c>
      <c r="F51" s="172">
        <v>10.143618002715</v>
      </c>
      <c r="G51" s="172">
        <v>6.1733612728818397</v>
      </c>
      <c r="H51" s="172">
        <v>8.0733621415072996</v>
      </c>
      <c r="I51" s="173" t="s">
        <v>192</v>
      </c>
      <c r="J51" s="172">
        <v>24.5970803584576</v>
      </c>
    </row>
    <row r="52" spans="1:10" ht="15.75" x14ac:dyDescent="0.25">
      <c r="A52" s="171" t="s">
        <v>315</v>
      </c>
      <c r="B52" s="174" t="str">
        <f t="shared" si="2"/>
        <v>2021</v>
      </c>
      <c r="C52" s="168">
        <v>27.130015518174702</v>
      </c>
      <c r="D52" s="168">
        <v>63.791717687378799</v>
      </c>
      <c r="E52" s="168">
        <v>22.128192677259801</v>
      </c>
      <c r="F52" s="168">
        <v>10.7817422412393</v>
      </c>
      <c r="G52" s="168">
        <v>6.0781392266275001</v>
      </c>
      <c r="H52" s="168">
        <v>7.6052313208531199</v>
      </c>
      <c r="I52" s="169" t="s">
        <v>192</v>
      </c>
      <c r="J52" s="168">
        <v>24.1258308725814</v>
      </c>
    </row>
    <row r="53" spans="1:10" ht="15.75" x14ac:dyDescent="0.25">
      <c r="A53" s="171" t="s">
        <v>314</v>
      </c>
      <c r="B53" s="174" t="str">
        <f t="shared" si="2"/>
        <v>2021</v>
      </c>
      <c r="C53" s="172">
        <v>27.650515572635101</v>
      </c>
      <c r="D53" s="172">
        <v>64.234336523463696</v>
      </c>
      <c r="E53" s="172">
        <v>22.117856975502502</v>
      </c>
      <c r="F53" s="172">
        <v>11.6706572569908</v>
      </c>
      <c r="G53" s="172">
        <v>6.2703611739599898</v>
      </c>
      <c r="H53" s="172">
        <v>7.8824428888629203</v>
      </c>
      <c r="I53" s="173" t="s">
        <v>192</v>
      </c>
      <c r="J53" s="172">
        <v>22.912279087421599</v>
      </c>
    </row>
    <row r="54" spans="1:10" ht="15.75" x14ac:dyDescent="0.25">
      <c r="A54" s="171" t="s">
        <v>313</v>
      </c>
      <c r="B54" s="174" t="str">
        <f t="shared" si="2"/>
        <v>2021</v>
      </c>
      <c r="C54" s="168">
        <v>27.924421613236898</v>
      </c>
      <c r="D54" s="168">
        <v>64.260673785483505</v>
      </c>
      <c r="E54" s="168">
        <v>23.007562033936502</v>
      </c>
      <c r="F54" s="168">
        <v>12.7630780321908</v>
      </c>
      <c r="G54" s="168">
        <v>6.1395127711191302</v>
      </c>
      <c r="H54" s="168">
        <v>7.5206404464901002</v>
      </c>
      <c r="I54" s="169" t="s">
        <v>192</v>
      </c>
      <c r="J54" s="168">
        <v>23.9093350876351</v>
      </c>
    </row>
    <row r="55" spans="1:10" ht="15.75" x14ac:dyDescent="0.25">
      <c r="A55" s="171" t="s">
        <v>312</v>
      </c>
      <c r="B55" s="174" t="str">
        <f t="shared" si="2"/>
        <v>2021</v>
      </c>
      <c r="C55" s="172">
        <v>28.210099951601119</v>
      </c>
      <c r="D55" s="172">
        <v>64.550575462044335</v>
      </c>
      <c r="E55" s="172">
        <v>24.339997666692401</v>
      </c>
      <c r="F55" s="172">
        <v>12.331325430126221</v>
      </c>
      <c r="G55" s="172">
        <v>6.5561896775922488</v>
      </c>
      <c r="H55" s="172">
        <v>7.7507583626989822</v>
      </c>
      <c r="I55" s="173" t="s">
        <v>192</v>
      </c>
      <c r="J55" s="172">
        <v>25.07438990196756</v>
      </c>
    </row>
    <row r="56" spans="1:10" ht="15.75" x14ac:dyDescent="0.25">
      <c r="A56" s="171" t="s">
        <v>311</v>
      </c>
      <c r="B56" s="174" t="str">
        <f t="shared" si="2"/>
        <v>2021</v>
      </c>
      <c r="C56" s="168">
        <v>28.274039668938361</v>
      </c>
      <c r="D56" s="168">
        <v>64.825494038151987</v>
      </c>
      <c r="E56" s="168">
        <v>24.090286046041591</v>
      </c>
      <c r="F56" s="168">
        <v>12.448992090620401</v>
      </c>
      <c r="G56" s="168">
        <v>6.3821052624412653</v>
      </c>
      <c r="H56" s="168">
        <v>7.9169169251114599</v>
      </c>
      <c r="I56" s="169" t="s">
        <v>192</v>
      </c>
      <c r="J56" s="168">
        <v>25.103584771118641</v>
      </c>
    </row>
    <row r="57" spans="1:10" ht="15.75" x14ac:dyDescent="0.25">
      <c r="A57" s="171" t="s">
        <v>310</v>
      </c>
      <c r="B57" s="174" t="str">
        <f t="shared" si="2"/>
        <v>2021</v>
      </c>
      <c r="C57" s="172">
        <v>28.033967905412311</v>
      </c>
      <c r="D57" s="172">
        <v>64.817728253014209</v>
      </c>
      <c r="E57" s="172">
        <v>23.13277974125247</v>
      </c>
      <c r="F57" s="172">
        <v>12.09027652228928</v>
      </c>
      <c r="G57" s="172">
        <v>6.6502256294034696</v>
      </c>
      <c r="H57" s="172">
        <v>8.0530607887150882</v>
      </c>
      <c r="I57" s="173" t="s">
        <v>192</v>
      </c>
      <c r="J57" s="172">
        <v>26.093675584377738</v>
      </c>
    </row>
    <row r="58" spans="1:10" ht="15.75" x14ac:dyDescent="0.25">
      <c r="A58" s="171" t="s">
        <v>309</v>
      </c>
      <c r="B58" s="174" t="str">
        <f t="shared" si="2"/>
        <v>2022</v>
      </c>
      <c r="C58" s="168">
        <v>27.81410977307301</v>
      </c>
      <c r="D58" s="168">
        <v>64.653374126551782</v>
      </c>
      <c r="E58" s="168">
        <v>24.762101131173932</v>
      </c>
      <c r="F58" s="168">
        <v>12.64490073492458</v>
      </c>
      <c r="G58" s="168">
        <v>6.8285493286422199</v>
      </c>
      <c r="H58" s="168">
        <v>8.1067602097956861</v>
      </c>
      <c r="I58" s="169" t="s">
        <v>192</v>
      </c>
      <c r="J58" s="168">
        <v>26.77231852708956</v>
      </c>
    </row>
    <row r="59" spans="1:10" ht="15.75" x14ac:dyDescent="0.25">
      <c r="A59" s="171" t="s">
        <v>308</v>
      </c>
      <c r="B59" s="174" t="str">
        <f t="shared" si="2"/>
        <v>2022</v>
      </c>
      <c r="C59" s="172">
        <v>27.267604368477581</v>
      </c>
      <c r="D59" s="172">
        <v>63.852583167262353</v>
      </c>
      <c r="E59" s="172">
        <v>23.086389573380451</v>
      </c>
      <c r="F59" s="172">
        <v>12.24344505386744</v>
      </c>
      <c r="G59" s="172">
        <v>6.8734165816042498</v>
      </c>
      <c r="H59" s="172">
        <v>7.5379436095164971</v>
      </c>
      <c r="I59" s="173" t="s">
        <v>192</v>
      </c>
      <c r="J59" s="172">
        <v>25.039790215083212</v>
      </c>
    </row>
    <row r="60" spans="1:10" ht="15.75" x14ac:dyDescent="0.25">
      <c r="A60" s="171" t="s">
        <v>307</v>
      </c>
      <c r="B60" s="174" t="str">
        <f t="shared" si="2"/>
        <v>2022</v>
      </c>
      <c r="C60" s="168">
        <v>27.1699928594842</v>
      </c>
      <c r="D60" s="168">
        <v>63.478045506962943</v>
      </c>
      <c r="E60" s="168">
        <v>22.172854919752481</v>
      </c>
      <c r="F60" s="168">
        <v>12.5844252202048</v>
      </c>
      <c r="G60" s="168">
        <v>6.7170046886095527</v>
      </c>
      <c r="H60" s="168">
        <v>7.6094996904492538</v>
      </c>
      <c r="I60" s="169" t="s">
        <v>192</v>
      </c>
      <c r="J60" s="168">
        <v>23.234305319662671</v>
      </c>
    </row>
    <row r="61" spans="1:10" ht="15.75" x14ac:dyDescent="0.25">
      <c r="A61" s="171" t="s">
        <v>306</v>
      </c>
      <c r="B61" s="174" t="str">
        <f t="shared" si="2"/>
        <v>2022</v>
      </c>
      <c r="C61" s="172">
        <v>27.34916974966664</v>
      </c>
      <c r="D61" s="172">
        <v>63.62175593858688</v>
      </c>
      <c r="E61" s="172">
        <v>21.54749730972539</v>
      </c>
      <c r="F61" s="172">
        <v>12.368385960101129</v>
      </c>
      <c r="G61" s="172">
        <v>6.089548074356653</v>
      </c>
      <c r="H61" s="172">
        <v>6.9790887335041738</v>
      </c>
      <c r="I61" s="173" t="s">
        <v>192</v>
      </c>
      <c r="J61" s="172">
        <v>23.13824149243732</v>
      </c>
    </row>
    <row r="62" spans="1:10" ht="15.75" x14ac:dyDescent="0.25">
      <c r="A62" s="171" t="s">
        <v>305</v>
      </c>
      <c r="B62" s="174" t="str">
        <f t="shared" si="2"/>
        <v>2022</v>
      </c>
      <c r="C62" s="168">
        <v>27.10812421871638</v>
      </c>
      <c r="D62" s="168">
        <v>63.588302475728462</v>
      </c>
      <c r="E62" s="168">
        <v>22.380739580084018</v>
      </c>
      <c r="F62" s="168">
        <v>12.948301127568429</v>
      </c>
      <c r="G62" s="168">
        <v>5.6535120854451684</v>
      </c>
      <c r="H62" s="168">
        <v>7.1120472734099129</v>
      </c>
      <c r="I62" s="169" t="s">
        <v>192</v>
      </c>
      <c r="J62" s="168">
        <v>21.4436895704339</v>
      </c>
    </row>
    <row r="63" spans="1:10" ht="15.75" x14ac:dyDescent="0.25">
      <c r="A63" s="171" t="s">
        <v>304</v>
      </c>
      <c r="B63" s="174" t="str">
        <f t="shared" si="2"/>
        <v>2022</v>
      </c>
      <c r="C63" s="172">
        <v>26.638911205148119</v>
      </c>
      <c r="D63" s="172">
        <v>62.917933044199422</v>
      </c>
      <c r="E63" s="172">
        <v>22.504931093059909</v>
      </c>
      <c r="F63" s="172">
        <v>13.132902244761411</v>
      </c>
      <c r="G63" s="172">
        <v>5.8504078393104724</v>
      </c>
      <c r="H63" s="172">
        <v>6.8409175817175933</v>
      </c>
      <c r="I63" s="173" t="s">
        <v>192</v>
      </c>
      <c r="J63" s="172">
        <v>19.788853579048141</v>
      </c>
    </row>
    <row r="64" spans="1:10" ht="15.75" x14ac:dyDescent="0.25">
      <c r="A64" s="171" t="s">
        <v>303</v>
      </c>
      <c r="B64" s="174" t="str">
        <f t="shared" si="2"/>
        <v>2022</v>
      </c>
      <c r="C64" s="168">
        <v>26.661142937526179</v>
      </c>
      <c r="D64" s="168">
        <v>62.827625618159608</v>
      </c>
      <c r="E64" s="168">
        <v>21.574381163978071</v>
      </c>
      <c r="F64" s="168">
        <v>13.29330139864034</v>
      </c>
      <c r="G64" s="168">
        <v>5.7466617911371731</v>
      </c>
      <c r="H64" s="168">
        <v>7.2265278556440649</v>
      </c>
      <c r="I64" s="169" t="s">
        <v>192</v>
      </c>
      <c r="J64" s="168">
        <v>18.469536440942541</v>
      </c>
    </row>
    <row r="65" spans="1:10" ht="15.75" x14ac:dyDescent="0.25">
      <c r="A65" s="171" t="s">
        <v>302</v>
      </c>
      <c r="B65" s="174" t="str">
        <f t="shared" si="2"/>
        <v>2022</v>
      </c>
      <c r="C65" s="172">
        <v>27.062018528346769</v>
      </c>
      <c r="D65" s="172">
        <v>62.205343397394323</v>
      </c>
      <c r="E65" s="172">
        <v>21.794334898240081</v>
      </c>
      <c r="F65" s="172">
        <v>13.69842178433537</v>
      </c>
      <c r="G65" s="172">
        <v>6.1273861005370147</v>
      </c>
      <c r="H65" s="172">
        <v>7.2418132761825058</v>
      </c>
      <c r="I65" s="173" t="s">
        <v>192</v>
      </c>
      <c r="J65" s="172">
        <v>22.192539866165909</v>
      </c>
    </row>
    <row r="66" spans="1:10" ht="15.75" x14ac:dyDescent="0.25">
      <c r="A66" s="171" t="s">
        <v>301</v>
      </c>
      <c r="B66" s="174" t="str">
        <f t="shared" si="2"/>
        <v>2022</v>
      </c>
      <c r="C66" s="168">
        <v>27.66569429288376</v>
      </c>
      <c r="D66" s="168">
        <v>63.188233994518072</v>
      </c>
      <c r="E66" s="168">
        <v>21.592520278449619</v>
      </c>
      <c r="F66" s="168">
        <v>14.33607963944266</v>
      </c>
      <c r="G66" s="168">
        <v>6.018472772644035</v>
      </c>
      <c r="H66" s="168">
        <v>7.7169106700977164</v>
      </c>
      <c r="I66" s="169" t="s">
        <v>192</v>
      </c>
      <c r="J66" s="168">
        <v>23.99568793462284</v>
      </c>
    </row>
    <row r="67" spans="1:10" ht="15.75" x14ac:dyDescent="0.25">
      <c r="A67" s="171" t="s">
        <v>300</v>
      </c>
      <c r="B67" s="174" t="str">
        <f t="shared" si="2"/>
        <v>2022</v>
      </c>
      <c r="C67" s="172">
        <v>27.27688125670732</v>
      </c>
      <c r="D67" s="172">
        <v>62.905744167903237</v>
      </c>
      <c r="E67" s="172">
        <v>22.192415606358871</v>
      </c>
      <c r="F67" s="172">
        <v>14.582997617372531</v>
      </c>
      <c r="G67" s="172">
        <v>6.1868925848984784</v>
      </c>
      <c r="H67" s="172">
        <v>7.7318279174711284</v>
      </c>
      <c r="I67" s="173" t="s">
        <v>192</v>
      </c>
      <c r="J67" s="172">
        <v>24.210852351745071</v>
      </c>
    </row>
    <row r="68" spans="1:10" ht="15.75" x14ac:dyDescent="0.25">
      <c r="A68" s="171" t="s">
        <v>299</v>
      </c>
      <c r="B68" s="174" t="str">
        <f t="shared" si="2"/>
        <v>2022</v>
      </c>
      <c r="C68" s="168">
        <v>27.367557854656361</v>
      </c>
      <c r="D68" s="168">
        <v>63.909197730297592</v>
      </c>
      <c r="E68" s="168">
        <v>22.32896299579264</v>
      </c>
      <c r="F68" s="168">
        <v>14.683915435887119</v>
      </c>
      <c r="G68" s="168">
        <v>6.5376996476034703</v>
      </c>
      <c r="H68" s="168">
        <v>7.5045745600181162</v>
      </c>
      <c r="I68" s="169" t="s">
        <v>192</v>
      </c>
      <c r="J68" s="168">
        <v>21.17609004257724</v>
      </c>
    </row>
    <row r="69" spans="1:10" ht="15.75" x14ac:dyDescent="0.25">
      <c r="A69" s="171" t="s">
        <v>298</v>
      </c>
      <c r="B69" s="174" t="str">
        <f t="shared" ref="B69:B81" si="3">+IF(VALUE(LEFT(A69,4))&lt;2020,"Promedio 2017-2019",LEFT(A69,4))</f>
        <v>2022</v>
      </c>
      <c r="C69" s="172">
        <v>27.27380591448777</v>
      </c>
      <c r="D69" s="172">
        <v>63.615611591431083</v>
      </c>
      <c r="E69" s="172">
        <v>25.105236747736161</v>
      </c>
      <c r="F69" s="172">
        <v>14.820307185378089</v>
      </c>
      <c r="G69" s="172">
        <v>6.7973516664660174</v>
      </c>
      <c r="H69" s="172">
        <v>7.2610910417303636</v>
      </c>
      <c r="I69" s="173" t="s">
        <v>192</v>
      </c>
      <c r="J69" s="172">
        <v>21.752367203564692</v>
      </c>
    </row>
    <row r="70" spans="1:10" ht="15.75" x14ac:dyDescent="0.25">
      <c r="A70" s="171" t="s">
        <v>297</v>
      </c>
      <c r="B70" s="174" t="str">
        <f t="shared" si="3"/>
        <v>2023</v>
      </c>
      <c r="C70" s="168">
        <v>27.31326631660858</v>
      </c>
      <c r="D70" s="168">
        <v>63.562056068842622</v>
      </c>
      <c r="E70" s="168">
        <v>25.934943695885011</v>
      </c>
      <c r="F70" s="168">
        <v>15.741746608507199</v>
      </c>
      <c r="G70" s="168">
        <v>6.7640937835474508</v>
      </c>
      <c r="H70" s="168">
        <v>7.0471871155386747</v>
      </c>
      <c r="I70" s="169" t="s">
        <v>192</v>
      </c>
      <c r="J70" s="168">
        <v>19.72082703128379</v>
      </c>
    </row>
    <row r="71" spans="1:10" ht="15.75" x14ac:dyDescent="0.25">
      <c r="A71" s="171" t="s">
        <v>296</v>
      </c>
      <c r="B71" s="174" t="str">
        <f t="shared" si="3"/>
        <v>2023</v>
      </c>
      <c r="C71" s="172">
        <v>27.448576676904171</v>
      </c>
      <c r="D71" s="172">
        <v>63.960267892018699</v>
      </c>
      <c r="E71" s="172">
        <v>27.253288929260279</v>
      </c>
      <c r="F71" s="172">
        <v>15.06349716580217</v>
      </c>
      <c r="G71" s="172">
        <v>6.3024226472114808</v>
      </c>
      <c r="H71" s="172">
        <v>6.8866009265346122</v>
      </c>
      <c r="I71" s="173" t="s">
        <v>192</v>
      </c>
      <c r="J71" s="172">
        <v>22.13059386608672</v>
      </c>
    </row>
    <row r="72" spans="1:10" ht="15.75" x14ac:dyDescent="0.25">
      <c r="A72" s="171" t="s">
        <v>295</v>
      </c>
      <c r="B72" s="174" t="str">
        <f t="shared" si="3"/>
        <v>2023</v>
      </c>
      <c r="C72" s="168">
        <v>27.357113273130739</v>
      </c>
      <c r="D72" s="168">
        <v>63.243318508988779</v>
      </c>
      <c r="E72" s="168">
        <v>25.388093703542189</v>
      </c>
      <c r="F72" s="168">
        <v>15.00360583967478</v>
      </c>
      <c r="G72" s="168">
        <v>6.1884377845684551</v>
      </c>
      <c r="H72" s="168">
        <v>6.8367147145319871</v>
      </c>
      <c r="I72" s="169" t="s">
        <v>192</v>
      </c>
      <c r="J72" s="168">
        <v>22.369218024387429</v>
      </c>
    </row>
    <row r="73" spans="1:10" ht="15.75" x14ac:dyDescent="0.25">
      <c r="A73" s="171" t="s">
        <v>294</v>
      </c>
      <c r="B73" s="174" t="str">
        <f t="shared" si="3"/>
        <v>2023</v>
      </c>
      <c r="C73" s="172">
        <v>27.38436999464848</v>
      </c>
      <c r="D73" s="172">
        <v>62.901337560146672</v>
      </c>
      <c r="E73" s="172">
        <v>24.887866611205752</v>
      </c>
      <c r="F73" s="172">
        <v>13.784036311696459</v>
      </c>
      <c r="G73" s="172">
        <v>5.8864300129618652</v>
      </c>
      <c r="H73" s="172">
        <v>7.1320614920292362</v>
      </c>
      <c r="I73" s="173" t="s">
        <v>192</v>
      </c>
      <c r="J73" s="172">
        <v>23.43602324101051</v>
      </c>
    </row>
    <row r="74" spans="1:10" ht="15.75" x14ac:dyDescent="0.25">
      <c r="A74" s="171" t="s">
        <v>293</v>
      </c>
      <c r="B74" s="174" t="str">
        <f t="shared" si="3"/>
        <v>2023</v>
      </c>
      <c r="C74" s="168">
        <v>27.17527182769841</v>
      </c>
      <c r="D74" s="168">
        <v>61.512979519050781</v>
      </c>
      <c r="E74" s="168">
        <v>24.724996983543829</v>
      </c>
      <c r="F74" s="168">
        <v>13.363574266239519</v>
      </c>
      <c r="G74" s="168">
        <v>5.9284850196881127</v>
      </c>
      <c r="H74" s="168">
        <v>7.6213697857976133</v>
      </c>
      <c r="I74" s="169" t="s">
        <v>192</v>
      </c>
      <c r="J74" s="168">
        <v>22.181794315775601</v>
      </c>
    </row>
    <row r="75" spans="1:10" ht="15.75" x14ac:dyDescent="0.25">
      <c r="A75" s="171" t="s">
        <v>292</v>
      </c>
      <c r="B75" s="174" t="str">
        <f t="shared" si="3"/>
        <v>2023</v>
      </c>
      <c r="C75" s="172">
        <v>26.867650936250222</v>
      </c>
      <c r="D75" s="172">
        <v>61.29896675482459</v>
      </c>
      <c r="E75" s="172">
        <v>25.307005886334391</v>
      </c>
      <c r="F75" s="172">
        <v>12.39445044566521</v>
      </c>
      <c r="G75" s="172">
        <v>5.4886745634950511</v>
      </c>
      <c r="H75" s="172">
        <v>7.4311144500983044</v>
      </c>
      <c r="I75" s="173" t="s">
        <v>192</v>
      </c>
      <c r="J75" s="172">
        <v>20.117102129035722</v>
      </c>
    </row>
    <row r="76" spans="1:10" ht="15.75" x14ac:dyDescent="0.25">
      <c r="A76" s="171" t="s">
        <v>291</v>
      </c>
      <c r="B76" s="174" t="str">
        <f t="shared" si="3"/>
        <v>2023</v>
      </c>
      <c r="C76" s="168">
        <v>26.71958666705574</v>
      </c>
      <c r="D76" s="168">
        <v>60.868128746042927</v>
      </c>
      <c r="E76" s="168">
        <v>24.891693953775789</v>
      </c>
      <c r="F76" s="168">
        <v>13.070330304156631</v>
      </c>
      <c r="G76" s="168">
        <v>5.7629945460853147</v>
      </c>
      <c r="H76" s="168">
        <v>7.2959539622466334</v>
      </c>
      <c r="I76" s="169" t="s">
        <v>192</v>
      </c>
      <c r="J76" s="168">
        <v>19.52218271045577</v>
      </c>
    </row>
    <row r="77" spans="1:10" ht="15.75" x14ac:dyDescent="0.25">
      <c r="A77" s="171" t="s">
        <v>290</v>
      </c>
      <c r="B77" s="174" t="str">
        <f t="shared" si="3"/>
        <v>2023</v>
      </c>
      <c r="C77" s="172">
        <v>26.67617797748488</v>
      </c>
      <c r="D77" s="172">
        <v>61.144094555411392</v>
      </c>
      <c r="E77" s="172">
        <v>24.080987325700871</v>
      </c>
      <c r="F77" s="172">
        <v>13.8377608952963</v>
      </c>
      <c r="G77" s="172">
        <v>5.7366307596827077</v>
      </c>
      <c r="H77" s="172">
        <v>6.6604224983793774</v>
      </c>
      <c r="I77" s="173" t="s">
        <v>192</v>
      </c>
      <c r="J77" s="172">
        <v>19.27589026624911</v>
      </c>
    </row>
    <row r="78" spans="1:10" ht="15.75" x14ac:dyDescent="0.25">
      <c r="A78" s="171" t="s">
        <v>289</v>
      </c>
      <c r="B78" s="174" t="str">
        <f t="shared" si="3"/>
        <v>2023</v>
      </c>
      <c r="C78" s="168">
        <v>27.040218556152212</v>
      </c>
      <c r="D78" s="168">
        <v>61.505669748252927</v>
      </c>
      <c r="E78" s="168">
        <v>23.980282579249611</v>
      </c>
      <c r="F78" s="168">
        <v>14.13930168066122</v>
      </c>
      <c r="G78" s="168">
        <v>5.9755616869488124</v>
      </c>
      <c r="H78" s="168">
        <v>6.9804389448381254</v>
      </c>
      <c r="I78" s="169" t="s">
        <v>192</v>
      </c>
      <c r="J78" s="168">
        <v>19.255816576990561</v>
      </c>
    </row>
    <row r="79" spans="1:10" ht="15.75" x14ac:dyDescent="0.25">
      <c r="A79" s="171" t="s">
        <v>288</v>
      </c>
      <c r="B79" s="174" t="str">
        <f t="shared" si="3"/>
        <v>2023</v>
      </c>
      <c r="C79" s="172">
        <v>27.464028443840679</v>
      </c>
      <c r="D79" s="172">
        <v>62.50419650287531</v>
      </c>
      <c r="E79" s="172">
        <v>24.646361569304489</v>
      </c>
      <c r="F79" s="172">
        <v>15.10128538831284</v>
      </c>
      <c r="G79" s="172">
        <v>5.891396146934456</v>
      </c>
      <c r="H79" s="172">
        <v>6.6920741933256878</v>
      </c>
      <c r="I79" s="173" t="s">
        <v>192</v>
      </c>
      <c r="J79" s="172">
        <v>18.678086834177641</v>
      </c>
    </row>
    <row r="80" spans="1:10" ht="15.75" x14ac:dyDescent="0.25">
      <c r="A80" s="171" t="s">
        <v>287</v>
      </c>
      <c r="B80" s="174" t="str">
        <f t="shared" si="3"/>
        <v>2023</v>
      </c>
      <c r="C80" s="168">
        <v>27.531614419693661</v>
      </c>
      <c r="D80" s="168">
        <v>62.447413627412693</v>
      </c>
      <c r="E80" s="168">
        <v>24.427286837250328</v>
      </c>
      <c r="F80" s="168">
        <v>15.01129301151669</v>
      </c>
      <c r="G80" s="168">
        <v>6.5749444848977188</v>
      </c>
      <c r="H80" s="168">
        <v>6.9434177869279301</v>
      </c>
      <c r="I80" s="169" t="s">
        <v>192</v>
      </c>
      <c r="J80" s="168">
        <v>19.843071387708392</v>
      </c>
    </row>
    <row r="81" spans="1:10" ht="15.75" x14ac:dyDescent="0.25">
      <c r="A81" s="171" t="s">
        <v>286</v>
      </c>
      <c r="B81" s="174" t="str">
        <f t="shared" si="3"/>
        <v>2023</v>
      </c>
      <c r="C81" s="172">
        <v>27.550895972434059</v>
      </c>
      <c r="D81" s="172">
        <v>62.998126173531077</v>
      </c>
      <c r="E81" s="172">
        <v>25.52988855934079</v>
      </c>
      <c r="F81" s="172">
        <v>15.225215729753289</v>
      </c>
      <c r="G81" s="172">
        <v>6.9984252057603102</v>
      </c>
      <c r="H81" s="172">
        <v>6.8744071212881828</v>
      </c>
      <c r="I81" s="173" t="s">
        <v>192</v>
      </c>
      <c r="J81" s="172">
        <v>20.940590559683528</v>
      </c>
    </row>
    <row r="82" spans="1:10" ht="15.75" x14ac:dyDescent="0.25">
      <c r="A82" s="171" t="s">
        <v>285</v>
      </c>
      <c r="B82" s="170">
        <v>2024</v>
      </c>
      <c r="C82" s="168">
        <v>27.378800997918979</v>
      </c>
      <c r="D82" s="168">
        <v>63.110122910365398</v>
      </c>
      <c r="E82" s="168">
        <v>24.92094847519364</v>
      </c>
      <c r="F82" s="168">
        <v>14.7045394610867</v>
      </c>
      <c r="G82" s="168">
        <v>7.5701963703218551</v>
      </c>
      <c r="H82" s="168">
        <v>6.7207404171146141</v>
      </c>
      <c r="I82" s="169" t="s">
        <v>192</v>
      </c>
      <c r="J82" s="168">
        <v>22.574580037360349</v>
      </c>
    </row>
    <row r="83" spans="1:10" x14ac:dyDescent="0.25">
      <c r="A83" s="167" t="s">
        <v>284</v>
      </c>
    </row>
    <row r="84" spans="1:10" x14ac:dyDescent="0.25">
      <c r="A84" s="165" t="s">
        <v>283</v>
      </c>
    </row>
    <row r="85" spans="1:10" x14ac:dyDescent="0.25">
      <c r="A85" s="166" t="s">
        <v>282</v>
      </c>
      <c r="B85" s="165" t="s">
        <v>281</v>
      </c>
    </row>
  </sheetData>
  <mergeCells count="5">
    <mergeCell ref="A3:B3"/>
    <mergeCell ref="C3:J3"/>
    <mergeCell ref="A4:B4"/>
    <mergeCell ref="I4:J4"/>
    <mergeCell ref="I5:J5"/>
  </mergeCells>
  <hyperlinks>
    <hyperlink ref="A83" r:id="rId1" tooltip="Click once to display linked information. Click and hold to select this cell." display="https://stat.ine.cl/" xr:uid="{40EFAC53-5C57-4949-89A7-3D0BC0410407}"/>
  </hyperlinks>
  <pageMargins left="0.7" right="0.7" top="0.75" bottom="0.75" header="0.3" footer="0.3"/>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23ECB-001A-4370-B4C0-904A1864486D}">
  <sheetPr>
    <tabColor rgb="FF009999"/>
  </sheetPr>
  <dimension ref="B2:K22"/>
  <sheetViews>
    <sheetView showGridLines="0" workbookViewId="0"/>
    <sheetView workbookViewId="1"/>
  </sheetViews>
  <sheetFormatPr baseColWidth="10" defaultRowHeight="15" x14ac:dyDescent="0.25"/>
  <cols>
    <col min="1" max="1" width="4.28515625" customWidth="1"/>
    <col min="4" max="4" width="12.7109375" bestFit="1" customWidth="1"/>
    <col min="5" max="5" width="10.5703125" bestFit="1" customWidth="1"/>
    <col min="6" max="6" width="12.85546875" bestFit="1" customWidth="1"/>
    <col min="7" max="7" width="8.28515625" customWidth="1"/>
  </cols>
  <sheetData>
    <row r="2" spans="2:11" x14ac:dyDescent="0.25">
      <c r="B2" s="517" t="s">
        <v>641</v>
      </c>
      <c r="C2" s="517"/>
      <c r="D2" s="517"/>
      <c r="E2" s="517"/>
      <c r="F2" s="517"/>
      <c r="G2" s="517"/>
      <c r="H2" s="517"/>
      <c r="I2" s="517"/>
    </row>
    <row r="3" spans="2:11" x14ac:dyDescent="0.25">
      <c r="B3" s="41" t="s">
        <v>64</v>
      </c>
      <c r="C3" s="45" t="s">
        <v>1</v>
      </c>
      <c r="D3" s="45" t="s">
        <v>2</v>
      </c>
      <c r="E3" s="45" t="s">
        <v>3</v>
      </c>
      <c r="F3" s="45" t="s">
        <v>4</v>
      </c>
      <c r="G3" s="45" t="s">
        <v>41</v>
      </c>
      <c r="H3" s="45" t="s">
        <v>44</v>
      </c>
      <c r="I3" s="45" t="s">
        <v>5</v>
      </c>
    </row>
    <row r="4" spans="2:11" x14ac:dyDescent="0.25">
      <c r="B4" s="23">
        <v>39783</v>
      </c>
      <c r="C4" s="24">
        <f>VLOOKUP($B4,'AUX Beneficiarios Mensual'!$C$7:$X$1048576,16,FALSE)</f>
        <v>358445</v>
      </c>
      <c r="D4" s="24">
        <f>VLOOKUP($B4,'AUX Beneficiarios Mensual'!$C$7:$X$1048576,17,FALSE)</f>
        <v>194451</v>
      </c>
      <c r="E4" s="24">
        <f>VLOOKUP($B4,'AUX Beneficiarios Mensual'!$C$7:$X$1048576,19,FALSE)</f>
        <v>4485</v>
      </c>
      <c r="F4" s="24">
        <f>VLOOKUP($B4,'AUX Beneficiarios Mensual'!$C$7:$X$1048576,20,FALSE)</f>
        <v>700</v>
      </c>
      <c r="G4" s="24">
        <f>VLOOKUP($B4,'AUX Beneficiarios Mensual'!$C$7:$X$1048576,21,FALSE)</f>
        <v>0</v>
      </c>
      <c r="H4" s="420" t="s">
        <v>131</v>
      </c>
      <c r="I4" s="24">
        <f>VLOOKUP($B4,'AUX Beneficiarios Mensual'!$C$7:$X$1048576,22,FALSE)</f>
        <v>558081</v>
      </c>
    </row>
    <row r="5" spans="2:11" x14ac:dyDescent="0.25">
      <c r="B5" s="23">
        <v>40148</v>
      </c>
      <c r="C5" s="24">
        <f>VLOOKUP($B5,'AUX Beneficiarios Mensual'!$C$7:$X$1048576,16,FALSE)</f>
        <v>398828</v>
      </c>
      <c r="D5" s="24">
        <f>VLOOKUP($B5,'AUX Beneficiarios Mensual'!$C$7:$X$1048576,17,FALSE)</f>
        <v>212205</v>
      </c>
      <c r="E5" s="24">
        <f>VLOOKUP($B5,'AUX Beneficiarios Mensual'!$C$7:$X$1048576,19,FALSE)</f>
        <v>237978</v>
      </c>
      <c r="F5" s="24">
        <f>VLOOKUP($B5,'AUX Beneficiarios Mensual'!$C$7:$X$1048576,20,FALSE)</f>
        <v>8766</v>
      </c>
      <c r="G5" s="24">
        <f>VLOOKUP($B5,'AUX Beneficiarios Mensual'!$C$7:$X$1048576,21,FALSE)</f>
        <v>0</v>
      </c>
      <c r="H5" s="420" t="s">
        <v>131</v>
      </c>
      <c r="I5" s="24">
        <f>VLOOKUP($B5,'AUX Beneficiarios Mensual'!$C$7:$X$1048576,22,FALSE)</f>
        <v>857777</v>
      </c>
    </row>
    <row r="6" spans="2:11" x14ac:dyDescent="0.25">
      <c r="B6" s="23">
        <v>40513</v>
      </c>
      <c r="C6" s="24">
        <f>VLOOKUP($B6,'AUX Beneficiarios Mensual'!$C$7:$X$1048576,16,FALSE)</f>
        <v>407118</v>
      </c>
      <c r="D6" s="24">
        <f>VLOOKUP($B6,'AUX Beneficiarios Mensual'!$C$7:$X$1048576,17,FALSE)</f>
        <v>216390</v>
      </c>
      <c r="E6" s="24">
        <f>VLOOKUP($B6,'AUX Beneficiarios Mensual'!$C$7:$X$1048576,19,FALSE)</f>
        <v>370216</v>
      </c>
      <c r="F6" s="24">
        <f>VLOOKUP($B6,'AUX Beneficiarios Mensual'!$C$7:$X$1048576,20,FALSE)</f>
        <v>17371</v>
      </c>
      <c r="G6" s="24">
        <f>VLOOKUP($B6,'AUX Beneficiarios Mensual'!$C$7:$X$1048576,21,FALSE)</f>
        <v>0</v>
      </c>
      <c r="H6" s="420" t="s">
        <v>130</v>
      </c>
      <c r="I6" s="24">
        <f>VLOOKUP($B6,'AUX Beneficiarios Mensual'!$C$7:$X$1048576,22,FALSE)</f>
        <v>1011095</v>
      </c>
    </row>
    <row r="7" spans="2:11" x14ac:dyDescent="0.25">
      <c r="B7" s="23">
        <v>40878</v>
      </c>
      <c r="C7" s="24">
        <f>VLOOKUP($B7,'AUX Beneficiarios Mensual'!$C$7:$X$1048576,16,FALSE)</f>
        <v>405116</v>
      </c>
      <c r="D7" s="24">
        <f>VLOOKUP($B7,'AUX Beneficiarios Mensual'!$C$7:$X$1048576,17,FALSE)</f>
        <v>213801</v>
      </c>
      <c r="E7" s="24">
        <f>VLOOKUP($B7,'AUX Beneficiarios Mensual'!$C$7:$X$1048576,19,FALSE)</f>
        <v>436791</v>
      </c>
      <c r="F7" s="24">
        <f>VLOOKUP($B7,'AUX Beneficiarios Mensual'!$C$7:$X$1048576,20,FALSE)</f>
        <v>25904</v>
      </c>
      <c r="G7" s="24">
        <f>VLOOKUP($B7,'AUX Beneficiarios Mensual'!$C$7:$X$1048576,21,FALSE)</f>
        <v>0</v>
      </c>
      <c r="H7" s="420" t="s">
        <v>130</v>
      </c>
      <c r="I7" s="24">
        <f>VLOOKUP($B7,'AUX Beneficiarios Mensual'!$C$7:$X$1048576,22,FALSE)</f>
        <v>1081612</v>
      </c>
    </row>
    <row r="8" spans="2:11" x14ac:dyDescent="0.25">
      <c r="B8" s="23">
        <v>41244</v>
      </c>
      <c r="C8" s="24">
        <f>VLOOKUP($B8,'AUX Beneficiarios Mensual'!$C$7:$X$1048576,16,FALSE)</f>
        <v>406123</v>
      </c>
      <c r="D8" s="24">
        <f>VLOOKUP($B8,'AUX Beneficiarios Mensual'!$C$7:$X$1048576,17,FALSE)</f>
        <v>194854</v>
      </c>
      <c r="E8" s="24">
        <f>VLOOKUP($B8,'AUX Beneficiarios Mensual'!$C$7:$X$1048576,19,FALSE)</f>
        <v>539888</v>
      </c>
      <c r="F8" s="24">
        <f>VLOOKUP($B8,'AUX Beneficiarios Mensual'!$C$7:$X$1048576,20,FALSE)</f>
        <v>40164</v>
      </c>
      <c r="G8" s="24">
        <f>VLOOKUP($B8,'AUX Beneficiarios Mensual'!$C$7:$X$1048576,21,FALSE)</f>
        <v>0</v>
      </c>
      <c r="H8" s="420" t="s">
        <v>130</v>
      </c>
      <c r="I8" s="24">
        <f>VLOOKUP($B8,'AUX Beneficiarios Mensual'!$C$7:$X$1048576,22,FALSE)</f>
        <v>1181029</v>
      </c>
    </row>
    <row r="9" spans="2:11" x14ac:dyDescent="0.25">
      <c r="B9" s="23">
        <v>41609</v>
      </c>
      <c r="C9" s="24">
        <f>VLOOKUP($B9,'AUX Beneficiarios Mensual'!$C$7:$X$1048576,16,FALSE)</f>
        <v>400768</v>
      </c>
      <c r="D9" s="24">
        <f>VLOOKUP($B9,'AUX Beneficiarios Mensual'!$C$7:$X$1048576,17,FALSE)</f>
        <v>186782</v>
      </c>
      <c r="E9" s="24">
        <f>VLOOKUP($B9,'AUX Beneficiarios Mensual'!$C$7:$X$1048576,19,FALSE)</f>
        <v>586883</v>
      </c>
      <c r="F9" s="24">
        <f>VLOOKUP($B9,'AUX Beneficiarios Mensual'!$C$7:$X$1048576,20,FALSE)</f>
        <v>54475</v>
      </c>
      <c r="G9" s="24">
        <f>VLOOKUP($B9,'AUX Beneficiarios Mensual'!$C$7:$X$1048576,21,FALSE)</f>
        <v>0</v>
      </c>
      <c r="H9" s="420" t="s">
        <v>130</v>
      </c>
      <c r="I9" s="24">
        <f>VLOOKUP($B9,'AUX Beneficiarios Mensual'!$C$7:$X$1048576,22,FALSE)</f>
        <v>1228908</v>
      </c>
    </row>
    <row r="10" spans="2:11" x14ac:dyDescent="0.25">
      <c r="B10" s="23">
        <v>41974</v>
      </c>
      <c r="C10" s="24">
        <f>VLOOKUP($B10,'AUX Beneficiarios Mensual'!$C$7:$X$1048576,16,FALSE)</f>
        <v>401656</v>
      </c>
      <c r="D10" s="24">
        <f>VLOOKUP($B10,'AUX Beneficiarios Mensual'!$C$7:$X$1048576,17,FALSE)</f>
        <v>181546</v>
      </c>
      <c r="E10" s="24">
        <f>VLOOKUP($B10,'AUX Beneficiarios Mensual'!$C$7:$X$1048576,19,FALSE)</f>
        <v>635745</v>
      </c>
      <c r="F10" s="24">
        <f>VLOOKUP($B10,'AUX Beneficiarios Mensual'!$C$7:$X$1048576,20,FALSE)</f>
        <v>62681</v>
      </c>
      <c r="G10" s="24">
        <f>VLOOKUP($B10,'AUX Beneficiarios Mensual'!$C$7:$X$1048576,21,FALSE)</f>
        <v>0</v>
      </c>
      <c r="H10" s="420" t="s">
        <v>130</v>
      </c>
      <c r="I10" s="24">
        <f>VLOOKUP($B10,'AUX Beneficiarios Mensual'!$C$7:$X$1048576,22,FALSE)</f>
        <v>1281628</v>
      </c>
    </row>
    <row r="11" spans="2:11" x14ac:dyDescent="0.25">
      <c r="B11" s="23">
        <v>42339</v>
      </c>
      <c r="C11" s="24">
        <f>VLOOKUP($B11,'AUX Beneficiarios Mensual'!$C$7:$X$1048576,16,FALSE)</f>
        <v>399514</v>
      </c>
      <c r="D11" s="24">
        <f>VLOOKUP($B11,'AUX Beneficiarios Mensual'!$C$7:$X$1048576,17,FALSE)</f>
        <v>179778</v>
      </c>
      <c r="E11" s="24">
        <f>VLOOKUP($B11,'AUX Beneficiarios Mensual'!$C$7:$X$1048576,19,FALSE)</f>
        <v>686489</v>
      </c>
      <c r="F11" s="24">
        <f>VLOOKUP($B11,'AUX Beneficiarios Mensual'!$C$7:$X$1048576,20,FALSE)</f>
        <v>65127</v>
      </c>
      <c r="G11" s="24">
        <f>VLOOKUP($B11,'AUX Beneficiarios Mensual'!$C$7:$X$1048576,21,FALSE)</f>
        <v>0</v>
      </c>
      <c r="H11" s="420" t="s">
        <v>130</v>
      </c>
      <c r="I11" s="24">
        <f>VLOOKUP($B11,'AUX Beneficiarios Mensual'!$C$7:$X$1048576,22,FALSE)</f>
        <v>1330908</v>
      </c>
      <c r="K11" s="377"/>
    </row>
    <row r="12" spans="2:11" x14ac:dyDescent="0.25">
      <c r="B12" s="23">
        <v>42705</v>
      </c>
      <c r="C12" s="24">
        <f>VLOOKUP($B12,'AUX Beneficiarios Mensual'!$C$7:$X$1048576,16,FALSE)</f>
        <v>398651</v>
      </c>
      <c r="D12" s="24">
        <f>VLOOKUP($B12,'AUX Beneficiarios Mensual'!$C$7:$X$1048576,17,FALSE)</f>
        <v>181321</v>
      </c>
      <c r="E12" s="24">
        <f>VLOOKUP($B12,'AUX Beneficiarios Mensual'!$C$7:$X$1048576,19,FALSE)</f>
        <v>725754</v>
      </c>
      <c r="F12" s="24">
        <f>VLOOKUP($B12,'AUX Beneficiarios Mensual'!$C$7:$X$1048576,20,FALSE)</f>
        <v>64883</v>
      </c>
      <c r="G12" s="24">
        <f>VLOOKUP($B12,'AUX Beneficiarios Mensual'!$C$7:$X$1048576,21,FALSE)</f>
        <v>0</v>
      </c>
      <c r="H12" s="420" t="s">
        <v>130</v>
      </c>
      <c r="I12" s="24">
        <f>VLOOKUP($B12,'AUX Beneficiarios Mensual'!$C$7:$X$1048576,22,FALSE)</f>
        <v>1370609</v>
      </c>
    </row>
    <row r="13" spans="2:11" x14ac:dyDescent="0.25">
      <c r="B13" s="23">
        <v>43070</v>
      </c>
      <c r="C13" s="24">
        <f>VLOOKUP($B13,'AUX Beneficiarios Mensual'!$C$7:$X$1048576,16,FALSE)</f>
        <v>399510</v>
      </c>
      <c r="D13" s="24">
        <f>VLOOKUP($B13,'AUX Beneficiarios Mensual'!$C$7:$X$1048576,17,FALSE)</f>
        <v>182304</v>
      </c>
      <c r="E13" s="24">
        <f>VLOOKUP($B13,'AUX Beneficiarios Mensual'!$C$7:$X$1048576,19,FALSE)</f>
        <v>774083</v>
      </c>
      <c r="F13" s="24">
        <f>VLOOKUP($B13,'AUX Beneficiarios Mensual'!$C$7:$X$1048576,20,FALSE)</f>
        <v>64441</v>
      </c>
      <c r="G13" s="24">
        <f>VLOOKUP($B13,'AUX Beneficiarios Mensual'!$C$7:$X$1048576,21,FALSE)</f>
        <v>0</v>
      </c>
      <c r="H13" s="420" t="s">
        <v>130</v>
      </c>
      <c r="I13" s="24">
        <f>VLOOKUP($B13,'AUX Beneficiarios Mensual'!$C$7:$X$1048576,22,FALSE)</f>
        <v>1420338</v>
      </c>
    </row>
    <row r="14" spans="2:11" x14ac:dyDescent="0.25">
      <c r="B14" s="23">
        <v>43435</v>
      </c>
      <c r="C14" s="24">
        <f>VLOOKUP($B14,'AUX Beneficiarios Mensual'!$C$7:$X$1048576,16,FALSE)</f>
        <v>404348</v>
      </c>
      <c r="D14" s="24">
        <f>VLOOKUP($B14,'AUX Beneficiarios Mensual'!$C$7:$X$1048576,17,FALSE)</f>
        <v>182911</v>
      </c>
      <c r="E14" s="24">
        <f>VLOOKUP($B14,'AUX Beneficiarios Mensual'!$C$7:$X$1048576,19,FALSE)</f>
        <v>853431</v>
      </c>
      <c r="F14" s="24">
        <f>VLOOKUP($B14,'AUX Beneficiarios Mensual'!$C$7:$X$1048576,20,FALSE)</f>
        <v>66902</v>
      </c>
      <c r="G14" s="24">
        <f>VLOOKUP($B14,'AUX Beneficiarios Mensual'!$C$7:$X$1048576,21,FALSE)</f>
        <v>0</v>
      </c>
      <c r="H14" s="420" t="s">
        <v>130</v>
      </c>
      <c r="I14" s="24">
        <f>VLOOKUP($B14,'AUX Beneficiarios Mensual'!$C$7:$X$1048576,22,FALSE)</f>
        <v>1507592</v>
      </c>
    </row>
    <row r="15" spans="2:11" x14ac:dyDescent="0.25">
      <c r="B15" s="23">
        <v>43800</v>
      </c>
      <c r="C15" s="24">
        <f>VLOOKUP($B15,'AUX Beneficiarios Mensual'!$C$7:$X$1048576,16,FALSE)</f>
        <v>407066</v>
      </c>
      <c r="D15" s="24">
        <f>VLOOKUP($B15,'AUX Beneficiarios Mensual'!$C$7:$X$1048576,17,FALSE)</f>
        <v>181957</v>
      </c>
      <c r="E15" s="24">
        <f>VLOOKUP($B15,'AUX Beneficiarios Mensual'!$C$7:$X$1048576,19,FALSE)</f>
        <v>914029</v>
      </c>
      <c r="F15" s="24">
        <f>VLOOKUP($B15,'AUX Beneficiarios Mensual'!$C$7:$X$1048576,20,FALSE)</f>
        <v>68332</v>
      </c>
      <c r="G15" s="24">
        <f>VLOOKUP($B15,'AUX Beneficiarios Mensual'!$C$7:$X$1048576,21,FALSE)</f>
        <v>0</v>
      </c>
      <c r="H15" s="420" t="s">
        <v>130</v>
      </c>
      <c r="I15" s="24">
        <f>VLOOKUP($B15,'AUX Beneficiarios Mensual'!$C$7:$X$1048576,22,FALSE)</f>
        <v>1571384</v>
      </c>
    </row>
    <row r="16" spans="2:11" x14ac:dyDescent="0.25">
      <c r="B16" s="23">
        <v>44166</v>
      </c>
      <c r="C16" s="24">
        <f>VLOOKUP($B16,'AUX Beneficiarios Mensual'!$C$7:$X$1048576,16,FALSE)</f>
        <v>407108</v>
      </c>
      <c r="D16" s="24">
        <f>VLOOKUP($B16,'AUX Beneficiarios Mensual'!$C$7:$X$1048576,17,FALSE)</f>
        <v>181176</v>
      </c>
      <c r="E16" s="24">
        <f>VLOOKUP($B16,'AUX Beneficiarios Mensual'!$C$7:$X$1048576,19,FALSE)</f>
        <v>1034956</v>
      </c>
      <c r="F16" s="24">
        <f>VLOOKUP($B16,'AUX Beneficiarios Mensual'!$C$7:$X$1048576,20,FALSE)</f>
        <v>72694</v>
      </c>
      <c r="G16" s="24">
        <f>VLOOKUP($B16,'AUX Beneficiarios Mensual'!$C$7:$X$1048576,21,FALSE)</f>
        <v>5</v>
      </c>
      <c r="H16" s="420" t="s">
        <v>130</v>
      </c>
      <c r="I16" s="24">
        <f>VLOOKUP($B16,'AUX Beneficiarios Mensual'!$C$7:$X$1048576,22,FALSE)</f>
        <v>1695939</v>
      </c>
    </row>
    <row r="17" spans="2:10" x14ac:dyDescent="0.25">
      <c r="B17" s="23">
        <v>44531</v>
      </c>
      <c r="C17" s="24">
        <f>VLOOKUP($B17,'AUX Beneficiarios Mensual'!$C$7:$X$1048576,16,FALSE)</f>
        <v>413523</v>
      </c>
      <c r="D17" s="24">
        <f>VLOOKUP($B17,'AUX Beneficiarios Mensual'!$C$7:$X$1048576,17,FALSE)</f>
        <v>182087</v>
      </c>
      <c r="E17" s="24">
        <f>VLOOKUP($B17,'AUX Beneficiarios Mensual'!$C$7:$X$1048576,19,FALSE)</f>
        <v>1147603</v>
      </c>
      <c r="F17" s="24">
        <f>VLOOKUP($B17,'AUX Beneficiarios Mensual'!$C$7:$X$1048576,20,FALSE)</f>
        <v>84750</v>
      </c>
      <c r="G17" s="24">
        <f>VLOOKUP($B17,'AUX Beneficiarios Mensual'!$C$7:$X$1048576,21,FALSE)</f>
        <v>15</v>
      </c>
      <c r="H17" s="420" t="s">
        <v>130</v>
      </c>
      <c r="I17" s="24">
        <f>VLOOKUP($B17,'AUX Beneficiarios Mensual'!$C$7:$X$1048576,22,FALSE)</f>
        <v>1827978</v>
      </c>
    </row>
    <row r="18" spans="2:10" x14ac:dyDescent="0.25">
      <c r="B18" s="23">
        <v>44896</v>
      </c>
      <c r="C18" s="24" t="s">
        <v>130</v>
      </c>
      <c r="D18" s="24">
        <f>VLOOKUP($B18,'AUX Beneficiarios Mensual'!$C$7:$X$1048576,17,FALSE)</f>
        <v>185584</v>
      </c>
      <c r="E18" s="24">
        <f>VLOOKUP($B18,'AUX Beneficiarios Mensual'!$C$7:$X$1048576,19,FALSE)</f>
        <v>172179</v>
      </c>
      <c r="F18" s="24">
        <f>VLOOKUP($B18,'AUX Beneficiarios Mensual'!$C$7:$X$1048576,20,FALSE)</f>
        <v>92698</v>
      </c>
      <c r="G18" s="24">
        <f>VLOOKUP($B18,'AUX Beneficiarios Mensual'!$C$7:$X$1048576,21,FALSE)</f>
        <v>0</v>
      </c>
      <c r="H18" s="24">
        <f>VLOOKUP($B18,'AUX Beneficiarios Mensual'!$C$7:$X$1048576,16,FALSE)+VLOOKUP($B18,'AUX Beneficiarios Mensual'!$C$7:$X$1048576,18,FALSE)</f>
        <v>1767717</v>
      </c>
      <c r="I18" s="24">
        <f>VLOOKUP($B18,'AUX Beneficiarios Mensual'!$C$7:$X$1048576,22,FALSE)</f>
        <v>2218178</v>
      </c>
    </row>
    <row r="19" spans="2:10" x14ac:dyDescent="0.25">
      <c r="B19" s="23">
        <v>45261</v>
      </c>
      <c r="C19" s="24" t="s">
        <v>130</v>
      </c>
      <c r="D19" s="24">
        <f>VLOOKUP($B19,'AUX Beneficiarios Mensual'!$C$7:$X$1048576,17,FALSE)</f>
        <v>192805</v>
      </c>
      <c r="E19" s="24">
        <f>VLOOKUP($B19,'AUX Beneficiarios Mensual'!$C$7:$X$1048576,19,FALSE)</f>
        <v>166187</v>
      </c>
      <c r="F19" s="24">
        <f>VLOOKUP($B19,'AUX Beneficiarios Mensual'!$C$7:$X$1048576,20,FALSE)</f>
        <v>97569</v>
      </c>
      <c r="G19" s="24">
        <f>VLOOKUP($B19,'AUX Beneficiarios Mensual'!$C$7:$X$1048576,21,FALSE)</f>
        <v>0</v>
      </c>
      <c r="H19" s="24">
        <f>VLOOKUP($B19,'AUX Beneficiarios Mensual'!$C$7:$X$1048576,16,FALSE)+VLOOKUP($B19,'AUX Beneficiarios Mensual'!$C$7:$X$1048576,18,FALSE)</f>
        <v>1980698</v>
      </c>
      <c r="I19" s="24">
        <f>VLOOKUP($B19,'AUX Beneficiarios Mensual'!$C$7:$X$1048576,22,FALSE)</f>
        <v>2437259</v>
      </c>
    </row>
    <row r="20" spans="2:10" x14ac:dyDescent="0.25">
      <c r="B20" s="23">
        <v>45627</v>
      </c>
      <c r="C20" s="24" t="s">
        <v>130</v>
      </c>
      <c r="D20" s="24">
        <f>VLOOKUP($B20,'AUX Beneficiarios Mensual'!$C$7:$X$1048576,17,FALSE)</f>
        <v>200026</v>
      </c>
      <c r="E20" s="24">
        <f>VLOOKUP($B20,'AUX Beneficiarios Mensual'!$C$7:$X$1048576,19,FALSE)</f>
        <v>159353</v>
      </c>
      <c r="F20" s="24">
        <f>VLOOKUP($B20,'AUX Beneficiarios Mensual'!$C$7:$X$1048576,20,FALSE)</f>
        <v>100480</v>
      </c>
      <c r="G20" s="24">
        <f>VLOOKUP($B20,'AUX Beneficiarios Mensual'!$C$7:$X$1048576,21,FALSE)</f>
        <v>0</v>
      </c>
      <c r="H20" s="24">
        <f>VLOOKUP($B20,'AUX Beneficiarios Mensual'!$C$7:$X$1048576,16,FALSE)+VLOOKUP($B20,'AUX Beneficiarios Mensual'!$C$7:$X$1048576,18,FALSE)</f>
        <v>2115774</v>
      </c>
      <c r="I20" s="24">
        <f>VLOOKUP($B20,'AUX Beneficiarios Mensual'!$C$7:$X$1048576,22,FALSE)</f>
        <v>2575633</v>
      </c>
      <c r="J20" s="53"/>
    </row>
    <row r="21" spans="2:10" x14ac:dyDescent="0.25">
      <c r="B21" s="23">
        <v>45992</v>
      </c>
      <c r="C21" s="24" t="s">
        <v>130</v>
      </c>
      <c r="D21" s="24">
        <f>VLOOKUP($B21,'AUX Beneficiarios Mensual'!$C$7:$X$1048576,17,FALSE)</f>
        <v>204470</v>
      </c>
      <c r="E21" s="24">
        <f>VLOOKUP($B21,'AUX Beneficiarios Mensual'!$C$7:$X$1048576,19,FALSE)</f>
        <v>153457</v>
      </c>
      <c r="F21" s="24">
        <f>VLOOKUP($B21,'AUX Beneficiarios Mensual'!$C$7:$X$1048576,20,FALSE)</f>
        <v>104699</v>
      </c>
      <c r="G21" s="24">
        <f>VLOOKUP($B21,'AUX Beneficiarios Mensual'!$C$7:$X$1048576,21,FALSE)</f>
        <v>0</v>
      </c>
      <c r="H21" s="24">
        <f>VLOOKUP($B21,'AUX Beneficiarios Mensual'!$C$7:$X$1048576,16,FALSE)+VLOOKUP($B21,'AUX Beneficiarios Mensual'!$C$7:$X$1048576,18,FALSE)</f>
        <v>2243121</v>
      </c>
      <c r="I21" s="24">
        <f>VLOOKUP($B21,'AUX Beneficiarios Mensual'!$C$7:$X$1048576,22,FALSE)</f>
        <v>2705747</v>
      </c>
      <c r="J21" s="53"/>
    </row>
    <row r="22" spans="2:10" ht="60.75" customHeight="1" x14ac:dyDescent="0.25">
      <c r="B22" s="519" t="s">
        <v>675</v>
      </c>
      <c r="C22" s="519"/>
      <c r="D22" s="519"/>
      <c r="E22" s="519"/>
      <c r="F22" s="519"/>
      <c r="G22" s="519"/>
      <c r="H22" s="519"/>
      <c r="I22" s="519"/>
    </row>
  </sheetData>
  <mergeCells count="2">
    <mergeCell ref="B2:I2"/>
    <mergeCell ref="B22:I22"/>
  </mergeCells>
  <phoneticPr fontId="3" type="noConversion"/>
  <pageMargins left="0.7" right="0.7" top="0.75" bottom="0.75" header="0.3" footer="0.3"/>
  <pageSetup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0C9EF-033F-4EB1-8A62-FF7804E34830}">
  <sheetPr>
    <tabColor rgb="FFE9617B"/>
  </sheetPr>
  <dimension ref="B2:F30"/>
  <sheetViews>
    <sheetView showGridLines="0" workbookViewId="0"/>
    <sheetView workbookViewId="1"/>
  </sheetViews>
  <sheetFormatPr baseColWidth="10" defaultColWidth="10.85546875" defaultRowHeight="12.75" x14ac:dyDescent="0.2"/>
  <cols>
    <col min="1" max="1" width="5.7109375" style="244" customWidth="1"/>
    <col min="2" max="2" width="13.5703125" style="244" customWidth="1"/>
    <col min="3" max="3" width="11.7109375" style="244" customWidth="1"/>
    <col min="4" max="16384" width="10.85546875" style="244"/>
  </cols>
  <sheetData>
    <row r="2" spans="2:2" ht="15" x14ac:dyDescent="0.25">
      <c r="B2" s="8" t="s">
        <v>574</v>
      </c>
    </row>
    <row r="19" spans="2:6" ht="48" customHeight="1" x14ac:dyDescent="0.2"/>
    <row r="21" spans="2:6" x14ac:dyDescent="0.2">
      <c r="B21" s="633" t="s">
        <v>516</v>
      </c>
      <c r="C21" s="634"/>
      <c r="D21" s="634"/>
      <c r="E21" s="634"/>
      <c r="F21" s="634"/>
    </row>
    <row r="22" spans="2:6" x14ac:dyDescent="0.2">
      <c r="B22" s="634"/>
      <c r="C22" s="634"/>
      <c r="D22" s="634"/>
      <c r="E22" s="634"/>
      <c r="F22" s="634"/>
    </row>
    <row r="26" spans="2:6" x14ac:dyDescent="0.2">
      <c r="B26" s="344"/>
      <c r="C26" s="345" t="s">
        <v>494</v>
      </c>
      <c r="D26" s="345" t="s">
        <v>493</v>
      </c>
    </row>
    <row r="27" spans="2:6" x14ac:dyDescent="0.2">
      <c r="B27" s="345" t="s">
        <v>492</v>
      </c>
      <c r="C27" s="346">
        <v>0.48699999999999999</v>
      </c>
      <c r="D27" s="346">
        <f>1-C27</f>
        <v>0.51300000000000001</v>
      </c>
    </row>
    <row r="28" spans="2:6" x14ac:dyDescent="0.2">
      <c r="B28" s="345" t="s">
        <v>491</v>
      </c>
      <c r="C28" s="346">
        <v>0.52200000000000002</v>
      </c>
      <c r="D28" s="346">
        <f>1-C28</f>
        <v>0.47799999999999998</v>
      </c>
    </row>
    <row r="29" spans="2:6" x14ac:dyDescent="0.2">
      <c r="B29" s="345" t="s">
        <v>490</v>
      </c>
      <c r="C29" s="346">
        <v>0.53100000000000003</v>
      </c>
      <c r="D29" s="346">
        <f>1-C29</f>
        <v>0.46899999999999997</v>
      </c>
    </row>
    <row r="30" spans="2:6" x14ac:dyDescent="0.2">
      <c r="B30" s="345" t="s">
        <v>489</v>
      </c>
      <c r="C30" s="346">
        <v>0.58299999999999996</v>
      </c>
      <c r="D30" s="346">
        <f>1-C30</f>
        <v>0.41700000000000004</v>
      </c>
    </row>
  </sheetData>
  <mergeCells count="1">
    <mergeCell ref="B21:F22"/>
  </mergeCell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86AF2-E827-4BA2-BD42-44F03A4EF7E1}">
  <sheetPr>
    <tabColor rgb="FFE9617B"/>
  </sheetPr>
  <dimension ref="B2:Q38"/>
  <sheetViews>
    <sheetView showGridLines="0" zoomScale="90" zoomScaleNormal="90" workbookViewId="0">
      <selection activeCell="H27" sqref="H27"/>
    </sheetView>
    <sheetView workbookViewId="1"/>
  </sheetViews>
  <sheetFormatPr baseColWidth="10" defaultColWidth="11.5703125" defaultRowHeight="15" x14ac:dyDescent="0.25"/>
  <cols>
    <col min="1" max="1" width="5.5703125" customWidth="1"/>
    <col min="2" max="4" width="13" customWidth="1"/>
    <col min="5" max="5" width="13.140625" customWidth="1"/>
    <col min="6" max="6" width="12.7109375" bestFit="1" customWidth="1"/>
    <col min="9" max="9" width="7.7109375" customWidth="1"/>
  </cols>
  <sheetData>
    <row r="2" spans="2:10" x14ac:dyDescent="0.25">
      <c r="B2" s="8" t="s">
        <v>543</v>
      </c>
      <c r="J2" s="8" t="s">
        <v>542</v>
      </c>
    </row>
    <row r="22" spans="2:17" x14ac:dyDescent="0.25">
      <c r="B22" s="603" t="s">
        <v>575</v>
      </c>
      <c r="C22" s="603"/>
      <c r="D22" s="603"/>
      <c r="E22" s="603"/>
      <c r="F22" s="603"/>
      <c r="G22" s="603"/>
      <c r="H22" s="603"/>
      <c r="J22" s="603" t="s">
        <v>576</v>
      </c>
      <c r="K22" s="603"/>
      <c r="L22" s="603"/>
      <c r="M22" s="603"/>
      <c r="N22" s="603"/>
      <c r="O22" s="603"/>
      <c r="P22" s="603"/>
      <c r="Q22" s="603"/>
    </row>
    <row r="23" spans="2:17" ht="33.4" customHeight="1" x14ac:dyDescent="0.25">
      <c r="B23" s="603"/>
      <c r="C23" s="603"/>
      <c r="D23" s="603"/>
      <c r="E23" s="603"/>
      <c r="F23" s="603"/>
      <c r="G23" s="603"/>
      <c r="H23" s="603"/>
      <c r="J23" s="603"/>
      <c r="K23" s="603"/>
      <c r="L23" s="603"/>
      <c r="M23" s="603"/>
      <c r="N23" s="603"/>
      <c r="O23" s="603"/>
      <c r="P23" s="603"/>
      <c r="Q23" s="603"/>
    </row>
    <row r="24" spans="2:17" x14ac:dyDescent="0.25">
      <c r="B24" s="603"/>
      <c r="C24" s="603"/>
      <c r="D24" s="603"/>
      <c r="E24" s="603"/>
      <c r="F24" s="603"/>
      <c r="G24" s="603"/>
      <c r="H24" s="603"/>
      <c r="J24" s="603"/>
      <c r="K24" s="603"/>
      <c r="L24" s="603"/>
      <c r="M24" s="603"/>
      <c r="N24" s="603"/>
      <c r="O24" s="603"/>
      <c r="P24" s="603"/>
      <c r="Q24" s="603"/>
    </row>
    <row r="27" spans="2:17" x14ac:dyDescent="0.25">
      <c r="B27" s="347" t="s">
        <v>377</v>
      </c>
      <c r="C27" s="348" t="s">
        <v>541</v>
      </c>
      <c r="D27" s="347" t="s">
        <v>376</v>
      </c>
      <c r="E27" s="347" t="s">
        <v>375</v>
      </c>
      <c r="F27" s="348" t="s">
        <v>374</v>
      </c>
      <c r="J27" s="347" t="s">
        <v>377</v>
      </c>
      <c r="K27" s="348" t="s">
        <v>540</v>
      </c>
      <c r="L27" s="347" t="s">
        <v>519</v>
      </c>
      <c r="M27" s="347" t="s">
        <v>520</v>
      </c>
      <c r="N27" s="347" t="s">
        <v>521</v>
      </c>
    </row>
    <row r="28" spans="2:17" x14ac:dyDescent="0.25">
      <c r="B28" s="348">
        <v>2013</v>
      </c>
      <c r="C28" s="350">
        <f>+ESI!K2</f>
        <v>5366968.9878913332</v>
      </c>
      <c r="D28" s="350">
        <f>+ESI!L2</f>
        <v>5254111.9493622528</v>
      </c>
      <c r="E28" s="350">
        <f>+ESI!M2</f>
        <v>5479826.0264204144</v>
      </c>
      <c r="F28" s="350">
        <f>+'Figura 21'!I25</f>
        <v>5006910</v>
      </c>
      <c r="H28" s="364"/>
      <c r="J28" s="348">
        <v>2013</v>
      </c>
      <c r="K28" s="349">
        <f>+ESI!S2</f>
        <v>0.34300880695164943</v>
      </c>
      <c r="L28" s="349">
        <f>+ESI!T2</f>
        <v>0.32448129042082929</v>
      </c>
      <c r="M28" s="349">
        <f>+ESI!U2</f>
        <v>0.36200030951465867</v>
      </c>
      <c r="N28" s="349">
        <f>+'Figura 21'!J25</f>
        <v>0.38560915849952204</v>
      </c>
    </row>
    <row r="29" spans="2:17" x14ac:dyDescent="0.25">
      <c r="B29" s="348">
        <v>2014</v>
      </c>
      <c r="C29" s="350">
        <f>+ESI!K3</f>
        <v>5329927.1091962466</v>
      </c>
      <c r="D29" s="350">
        <f>+ESI!L3</f>
        <v>5227987.843065843</v>
      </c>
      <c r="E29" s="350">
        <f>+ESI!M3</f>
        <v>5431866.3753266521</v>
      </c>
      <c r="F29" s="350">
        <f>+'Figura 21'!I26</f>
        <v>5093761.666666667</v>
      </c>
      <c r="H29" s="364"/>
      <c r="J29" s="348">
        <v>2014</v>
      </c>
      <c r="K29" s="349">
        <f>+ESI!S3</f>
        <v>0.35431474039339128</v>
      </c>
      <c r="L29" s="349">
        <f>+ESI!T3</f>
        <v>0.33716203901705522</v>
      </c>
      <c r="M29" s="349">
        <f>+ESI!U3</f>
        <v>0.37098659933793243</v>
      </c>
      <c r="N29" s="349">
        <f>+'Figura 21'!J26</f>
        <v>0.38254593303253392</v>
      </c>
    </row>
    <row r="30" spans="2:17" x14ac:dyDescent="0.25">
      <c r="B30" s="348">
        <v>2015</v>
      </c>
      <c r="C30" s="350">
        <f>+ESI!K4</f>
        <v>5472459.4838263756</v>
      </c>
      <c r="D30" s="350">
        <f>+ESI!L4</f>
        <v>5365118.3320230804</v>
      </c>
      <c r="E30" s="350">
        <f>+ESI!M4</f>
        <v>5579800.6356296726</v>
      </c>
      <c r="F30" s="350">
        <f>+'Figura 21'!I27</f>
        <v>5189975.333333333</v>
      </c>
      <c r="H30" s="364"/>
      <c r="J30" s="348">
        <v>2015</v>
      </c>
      <c r="K30" s="349">
        <f>+ESI!S4</f>
        <v>0.35149331159797947</v>
      </c>
      <c r="L30" s="349">
        <f>+ESI!T4</f>
        <v>0.33337297002763899</v>
      </c>
      <c r="M30" s="349">
        <f>+ESI!U4</f>
        <v>0.36843754417377816</v>
      </c>
      <c r="N30" s="349">
        <f>+'Figura 21'!J27</f>
        <v>0.38423279400675703</v>
      </c>
    </row>
    <row r="31" spans="2:17" x14ac:dyDescent="0.25">
      <c r="B31" s="348">
        <v>2016</v>
      </c>
      <c r="C31" s="350">
        <f>+ESI!K5</f>
        <v>5483886.6071620267</v>
      </c>
      <c r="D31" s="350">
        <f>+ESI!L5</f>
        <v>5370291.2493472937</v>
      </c>
      <c r="E31" s="350">
        <f>+ESI!M5</f>
        <v>5597481.9649767578</v>
      </c>
      <c r="F31" s="350">
        <f>+'Figura 21'!I28</f>
        <v>5255289.666666667</v>
      </c>
      <c r="H31" s="364"/>
      <c r="J31" s="348">
        <v>2016</v>
      </c>
      <c r="K31" s="349">
        <f>+ESI!S5</f>
        <v>0.35825097043634507</v>
      </c>
      <c r="L31" s="349">
        <f>+ESI!T5</f>
        <v>0.33991907810971411</v>
      </c>
      <c r="M31" s="349">
        <f>+ESI!U5</f>
        <v>0.37719481538307709</v>
      </c>
      <c r="N31" s="349">
        <f>+'Figura 21'!J28</f>
        <v>0.3817822824614141</v>
      </c>
    </row>
    <row r="32" spans="2:17" x14ac:dyDescent="0.25">
      <c r="B32" s="348">
        <v>2017</v>
      </c>
      <c r="C32" s="350">
        <f>+ESI!K6</f>
        <v>5589065.8936523153</v>
      </c>
      <c r="D32" s="350">
        <f>+ESI!L6</f>
        <v>5475218.3846668731</v>
      </c>
      <c r="E32" s="350">
        <f>+ESI!M6</f>
        <v>5702913.4026377574</v>
      </c>
      <c r="F32" s="350">
        <f>+'Figura 21'!I29</f>
        <v>5382622</v>
      </c>
      <c r="H32" s="364"/>
      <c r="J32" s="348">
        <v>2017</v>
      </c>
      <c r="K32" s="349">
        <f>+ESI!S6</f>
        <v>0.36405907132617471</v>
      </c>
      <c r="L32" s="349">
        <f>+ESI!T6</f>
        <v>0.3451859577021944</v>
      </c>
      <c r="M32" s="349">
        <f>+ESI!U6</f>
        <v>0.38269344171195308</v>
      </c>
      <c r="N32" s="349">
        <f>+'Figura 21'!J29</f>
        <v>0.38615275412396632</v>
      </c>
    </row>
    <row r="33" spans="2:14" x14ac:dyDescent="0.25">
      <c r="B33" s="348">
        <v>2018</v>
      </c>
      <c r="C33" s="350">
        <f>+ESI!K7</f>
        <v>5779647.3578758053</v>
      </c>
      <c r="D33" s="350">
        <f>+ESI!L7</f>
        <v>5660070.990978254</v>
      </c>
      <c r="E33" s="350">
        <f>+ESI!M7</f>
        <v>5899223.7247733548</v>
      </c>
      <c r="F33" s="350">
        <f>+'Figura 21'!I30</f>
        <v>5559430.666666667</v>
      </c>
      <c r="H33" s="364"/>
      <c r="J33" s="348">
        <v>2018</v>
      </c>
      <c r="K33" s="349">
        <f>+ESI!S7</f>
        <v>0.35462590390339799</v>
      </c>
      <c r="L33" s="349">
        <f>+ESI!T7</f>
        <v>0.33454822628771708</v>
      </c>
      <c r="M33" s="349">
        <f>+ESI!U7</f>
        <v>0.37271534106623017</v>
      </c>
      <c r="N33" s="349">
        <f>+'Figura 21'!J30</f>
        <v>0.37634331246083186</v>
      </c>
    </row>
    <row r="34" spans="2:14" x14ac:dyDescent="0.25">
      <c r="B34" s="348">
        <v>2019</v>
      </c>
      <c r="C34" s="350">
        <f>+ESI!K8</f>
        <v>6103090.6530670794</v>
      </c>
      <c r="D34" s="350">
        <f>+ESI!L8</f>
        <v>5966805.8183760503</v>
      </c>
      <c r="E34" s="350">
        <f>+ESI!M8</f>
        <v>6239375.4877581084</v>
      </c>
      <c r="F34" s="350">
        <f>+'Figura 21'!I31</f>
        <v>5848927.666666666</v>
      </c>
      <c r="H34" s="364"/>
      <c r="J34" s="348">
        <v>2019</v>
      </c>
      <c r="K34" s="349">
        <f>+ESI!S8</f>
        <v>0.33226901916397422</v>
      </c>
      <c r="L34" s="349">
        <f>+ESI!T8</f>
        <v>0.31000677203693505</v>
      </c>
      <c r="M34" s="349">
        <f>+ESI!U8</f>
        <v>0.35319375383188656</v>
      </c>
      <c r="N34" s="349">
        <f>+'Figura 21'!J31</f>
        <v>0.35635056038849333</v>
      </c>
    </row>
    <row r="35" spans="2:14" x14ac:dyDescent="0.25">
      <c r="B35" s="348">
        <v>2020</v>
      </c>
      <c r="C35" s="350">
        <f>+ESI!K9</f>
        <v>5608504.037333834</v>
      </c>
      <c r="D35" s="350">
        <f>+ESI!L9</f>
        <v>5478318.1046224926</v>
      </c>
      <c r="E35" s="350">
        <f>+ESI!M9</f>
        <v>5738689.9700451754</v>
      </c>
      <c r="F35" s="350">
        <f>+'Figura 21'!I32</f>
        <v>5710034.666666667</v>
      </c>
      <c r="H35" s="364"/>
      <c r="J35" s="348">
        <v>2020</v>
      </c>
      <c r="K35" s="349">
        <f>+ESI!S9</f>
        <v>0.3042159536065463</v>
      </c>
      <c r="L35" s="349">
        <f>+ESI!T9</f>
        <v>0.28120890076419636</v>
      </c>
      <c r="M35" s="349">
        <f>+ESI!U9</f>
        <v>0.32551267031257369</v>
      </c>
      <c r="N35" s="349">
        <f>+'Figura 21'!J32</f>
        <v>0.2885770530872459</v>
      </c>
    </row>
    <row r="36" spans="2:14" x14ac:dyDescent="0.25">
      <c r="B36" s="348">
        <v>2021</v>
      </c>
      <c r="C36" s="350">
        <f>+ESI!K10</f>
        <v>5998485.394386136</v>
      </c>
      <c r="D36" s="350">
        <f>+ESI!L10</f>
        <v>5889052.9393272521</v>
      </c>
      <c r="E36" s="350">
        <f>+ESI!M10</f>
        <v>6107917.8494450198</v>
      </c>
      <c r="F36" s="350">
        <f>+'Figura 21'!I33</f>
        <v>6140758</v>
      </c>
      <c r="H36" s="364"/>
      <c r="J36" s="348">
        <v>2021</v>
      </c>
      <c r="K36" s="349">
        <f>+ESI!S10</f>
        <v>0.3121740395466025</v>
      </c>
      <c r="L36" s="349">
        <f>+ESI!T10</f>
        <v>0.2954747614786063</v>
      </c>
      <c r="M36" s="349">
        <f>+ESI!U10</f>
        <v>0.32893013318815245</v>
      </c>
      <c r="N36" s="349">
        <f>+'Figura 21'!J33</f>
        <v>0.29239974000744828</v>
      </c>
    </row>
    <row r="37" spans="2:14" x14ac:dyDescent="0.25">
      <c r="B37" s="348">
        <v>2022</v>
      </c>
      <c r="C37" s="350">
        <f>+ESI!K11</f>
        <v>6266788.3115274096</v>
      </c>
      <c r="D37" s="350">
        <f>+ESI!L11</f>
        <v>6153392.4141474376</v>
      </c>
      <c r="E37" s="350">
        <f>+ESI!M11</f>
        <v>6380184.2089073826</v>
      </c>
      <c r="F37" s="350">
        <f>+'Figura 21'!I34</f>
        <v>6212609.666666666</v>
      </c>
      <c r="H37" s="364"/>
      <c r="J37" s="348">
        <v>2022</v>
      </c>
      <c r="K37" s="349">
        <f>+ESI!S11</f>
        <v>0.30336714205214382</v>
      </c>
      <c r="L37" s="349">
        <f>+ESI!T11</f>
        <v>0.28562580858025366</v>
      </c>
      <c r="M37" s="349">
        <f>+ESI!U11</f>
        <v>0.3208092588752024</v>
      </c>
      <c r="N37" s="349">
        <f>+'Figura 21'!J34</f>
        <v>0.30703287404041324</v>
      </c>
    </row>
    <row r="38" spans="2:14" x14ac:dyDescent="0.25">
      <c r="H38" s="364"/>
    </row>
  </sheetData>
  <mergeCells count="2">
    <mergeCell ref="B22:H24"/>
    <mergeCell ref="J22:Q24"/>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6E65A-05D6-4510-AD57-652024C6238F}">
  <sheetPr>
    <tabColor rgb="FFE9617B"/>
  </sheetPr>
  <dimension ref="B2:AC38"/>
  <sheetViews>
    <sheetView showGridLines="0" zoomScale="90" zoomScaleNormal="90" workbookViewId="0">
      <selection activeCell="G45" sqref="G45"/>
    </sheetView>
    <sheetView workbookViewId="1"/>
  </sheetViews>
  <sheetFormatPr baseColWidth="10" defaultColWidth="11.5703125" defaultRowHeight="15" x14ac:dyDescent="0.25"/>
  <cols>
    <col min="1" max="1" width="5.5703125" customWidth="1"/>
    <col min="2" max="4" width="13" customWidth="1"/>
    <col min="5" max="5" width="13.140625" customWidth="1"/>
    <col min="6" max="6" width="12.7109375" bestFit="1" customWidth="1"/>
    <col min="9" max="9" width="7.7109375" customWidth="1"/>
  </cols>
  <sheetData>
    <row r="2" spans="2:10" x14ac:dyDescent="0.25">
      <c r="B2" s="8" t="s">
        <v>543</v>
      </c>
      <c r="J2" s="8" t="s">
        <v>542</v>
      </c>
    </row>
    <row r="22" spans="2:29" x14ac:dyDescent="0.25">
      <c r="B22" s="603" t="s">
        <v>575</v>
      </c>
      <c r="C22" s="603"/>
      <c r="D22" s="603"/>
      <c r="E22" s="603"/>
      <c r="F22" s="603"/>
      <c r="G22" s="603"/>
      <c r="H22" s="603"/>
      <c r="J22" s="603" t="s">
        <v>576</v>
      </c>
      <c r="K22" s="603"/>
      <c r="L22" s="603"/>
      <c r="M22" s="603"/>
      <c r="N22" s="603"/>
      <c r="O22" s="603"/>
      <c r="P22" s="603"/>
      <c r="Q22" s="603"/>
    </row>
    <row r="23" spans="2:29" ht="33.4" customHeight="1" x14ac:dyDescent="0.25">
      <c r="B23" s="603"/>
      <c r="C23" s="603"/>
      <c r="D23" s="603"/>
      <c r="E23" s="603"/>
      <c r="F23" s="603"/>
      <c r="G23" s="603"/>
      <c r="H23" s="603"/>
      <c r="J23" s="603"/>
      <c r="K23" s="603"/>
      <c r="L23" s="603"/>
      <c r="M23" s="603"/>
      <c r="N23" s="603"/>
      <c r="O23" s="603"/>
      <c r="P23" s="603"/>
      <c r="Q23" s="603"/>
    </row>
    <row r="24" spans="2:29" x14ac:dyDescent="0.25">
      <c r="B24" s="603"/>
      <c r="C24" s="603"/>
      <c r="D24" s="603"/>
      <c r="E24" s="603"/>
      <c r="F24" s="603"/>
      <c r="G24" s="603"/>
      <c r="H24" s="603"/>
      <c r="J24" s="603"/>
      <c r="K24" s="603"/>
      <c r="L24" s="603"/>
      <c r="M24" s="603"/>
      <c r="N24" s="603"/>
      <c r="O24" s="603"/>
      <c r="P24" s="603"/>
      <c r="Q24" s="603"/>
    </row>
    <row r="27" spans="2:29" x14ac:dyDescent="0.25">
      <c r="B27" s="347" t="s">
        <v>377</v>
      </c>
      <c r="C27" s="348" t="s">
        <v>541</v>
      </c>
      <c r="D27" s="347" t="s">
        <v>376</v>
      </c>
      <c r="E27" s="347" t="s">
        <v>375</v>
      </c>
      <c r="F27" s="348" t="s">
        <v>374</v>
      </c>
      <c r="J27" s="347" t="s">
        <v>377</v>
      </c>
      <c r="K27" s="348" t="s">
        <v>540</v>
      </c>
      <c r="L27" s="347" t="s">
        <v>519</v>
      </c>
      <c r="M27" s="347" t="s">
        <v>520</v>
      </c>
      <c r="N27" s="347" t="s">
        <v>521</v>
      </c>
      <c r="W27" s="367" t="s">
        <v>582</v>
      </c>
      <c r="AA27" t="s">
        <v>583</v>
      </c>
    </row>
    <row r="28" spans="2:29" x14ac:dyDescent="0.25">
      <c r="B28" s="348">
        <v>2013</v>
      </c>
      <c r="C28" s="350">
        <f>+ESI!K2</f>
        <v>5366968.9878913332</v>
      </c>
      <c r="D28" s="350">
        <v>5254067.060164134</v>
      </c>
      <c r="E28" s="350">
        <v>5479870.9156185323</v>
      </c>
      <c r="F28" s="350">
        <f>+'Figura 21'!I25</f>
        <v>5006910</v>
      </c>
      <c r="H28" s="364"/>
      <c r="J28" s="348">
        <v>2013</v>
      </c>
      <c r="K28" s="349">
        <f>+ESI!S2</f>
        <v>0.34300880695164943</v>
      </c>
      <c r="L28" s="349">
        <f t="shared" ref="L28:L38" si="0">AB28</f>
        <v>0.3238187646367916</v>
      </c>
      <c r="M28" s="349">
        <f t="shared" ref="M28:M38" si="1">X28</f>
        <v>0.36189510154951576</v>
      </c>
      <c r="N28" s="349">
        <f>+'Figura 21'!J25</f>
        <v>0.38560915849952204</v>
      </c>
      <c r="W28">
        <v>0.63810489845048424</v>
      </c>
      <c r="X28" s="68">
        <f>1-W28</f>
        <v>0.36189510154951576</v>
      </c>
      <c r="Y28" s="366">
        <f t="shared" ref="Y28:Y38" si="2">M28-X28</f>
        <v>0</v>
      </c>
      <c r="AA28">
        <v>0.6761812353632084</v>
      </c>
      <c r="AB28" s="53">
        <f>1-AA28</f>
        <v>0.3238187646367916</v>
      </c>
      <c r="AC28" s="365">
        <f t="shared" ref="AC28:AC38" si="3">L28-AB28</f>
        <v>0</v>
      </c>
    </row>
    <row r="29" spans="2:29" x14ac:dyDescent="0.25">
      <c r="B29" s="348">
        <v>2014</v>
      </c>
      <c r="C29" s="350">
        <f>+ESI!K3</f>
        <v>5329927.1091962466</v>
      </c>
      <c r="D29" s="350">
        <v>5227938.8308935538</v>
      </c>
      <c r="E29" s="350">
        <v>5431915.3874989413</v>
      </c>
      <c r="F29" s="350">
        <f>+'Figura 21'!I26</f>
        <v>5093761.666666667</v>
      </c>
      <c r="H29" s="364"/>
      <c r="J29" s="348">
        <v>2014</v>
      </c>
      <c r="K29" s="349">
        <f>+ESI!S3</f>
        <v>0.35431474039339128</v>
      </c>
      <c r="L29" s="349">
        <f t="shared" si="0"/>
        <v>0.33760970925502543</v>
      </c>
      <c r="M29" s="349">
        <f t="shared" si="1"/>
        <v>0.37175256691330116</v>
      </c>
      <c r="N29" s="349">
        <f>+'Figura 21'!J26</f>
        <v>0.38254593303253392</v>
      </c>
      <c r="W29">
        <v>0.62824743308669884</v>
      </c>
      <c r="X29" s="68">
        <f t="shared" ref="X29:X38" si="4">1-W29</f>
        <v>0.37175256691330116</v>
      </c>
      <c r="Y29" s="366">
        <f t="shared" si="2"/>
        <v>0</v>
      </c>
      <c r="AA29">
        <v>0.66239029074497457</v>
      </c>
      <c r="AB29" s="53">
        <f t="shared" ref="AB29:AB38" si="5">1-AA29</f>
        <v>0.33760970925502543</v>
      </c>
      <c r="AC29" s="365">
        <f t="shared" si="3"/>
        <v>0</v>
      </c>
    </row>
    <row r="30" spans="2:29" x14ac:dyDescent="0.25">
      <c r="B30" s="348">
        <v>2015</v>
      </c>
      <c r="C30" s="350">
        <f>+ESI!K4</f>
        <v>5472459.4838263756</v>
      </c>
      <c r="D30" s="350">
        <v>5365069.2632917231</v>
      </c>
      <c r="E30" s="350">
        <v>5579849.7043610299</v>
      </c>
      <c r="F30" s="350">
        <f>+'Figura 21'!I27</f>
        <v>5189975.333333333</v>
      </c>
      <c r="H30" s="364"/>
      <c r="J30" s="348">
        <v>2015</v>
      </c>
      <c r="K30" s="349">
        <f>+ESI!S4</f>
        <v>0.35149331159797947</v>
      </c>
      <c r="L30" s="349">
        <f t="shared" si="0"/>
        <v>0.33404021854131316</v>
      </c>
      <c r="M30" s="349">
        <f t="shared" si="1"/>
        <v>0.36794022214548394</v>
      </c>
      <c r="N30" s="349">
        <f>+'Figura 21'!J27</f>
        <v>0.38423279400675703</v>
      </c>
      <c r="W30">
        <v>0.63205977785451606</v>
      </c>
      <c r="X30" s="68">
        <f t="shared" si="4"/>
        <v>0.36794022214548394</v>
      </c>
      <c r="Y30" s="366">
        <f t="shared" si="2"/>
        <v>0</v>
      </c>
      <c r="AA30">
        <v>0.66595978145868684</v>
      </c>
      <c r="AB30" s="53">
        <f t="shared" si="5"/>
        <v>0.33404021854131316</v>
      </c>
      <c r="AC30" s="365">
        <f t="shared" si="3"/>
        <v>0</v>
      </c>
    </row>
    <row r="31" spans="2:29" x14ac:dyDescent="0.25">
      <c r="B31" s="348">
        <v>2016</v>
      </c>
      <c r="C31" s="350">
        <f>+ESI!K5</f>
        <v>5483886.6071620267</v>
      </c>
      <c r="D31" s="350">
        <v>5370244.6877848003</v>
      </c>
      <c r="E31" s="350">
        <v>5597528.5265392512</v>
      </c>
      <c r="F31" s="350">
        <f>+'Figura 21'!I28</f>
        <v>5255289.666666667</v>
      </c>
      <c r="H31" s="364"/>
      <c r="J31" s="348">
        <v>2016</v>
      </c>
      <c r="K31" s="349">
        <f>+ESI!S5</f>
        <v>0.35825097043634507</v>
      </c>
      <c r="L31" s="349">
        <f t="shared" si="0"/>
        <v>0.34117132310015619</v>
      </c>
      <c r="M31" s="349">
        <f t="shared" si="1"/>
        <v>0.37689838819651622</v>
      </c>
      <c r="N31" s="349">
        <f>+'Figura 21'!J28</f>
        <v>0.3817822824614141</v>
      </c>
      <c r="W31">
        <v>0.62310161180348378</v>
      </c>
      <c r="X31" s="68">
        <f t="shared" si="4"/>
        <v>0.37689838819651622</v>
      </c>
      <c r="Y31" s="366">
        <f t="shared" si="2"/>
        <v>0</v>
      </c>
      <c r="AA31">
        <v>0.65882867689984381</v>
      </c>
      <c r="AB31" s="53">
        <f t="shared" si="5"/>
        <v>0.34117132310015619</v>
      </c>
      <c r="AC31" s="365">
        <f t="shared" si="3"/>
        <v>0</v>
      </c>
    </row>
    <row r="32" spans="2:29" x14ac:dyDescent="0.25">
      <c r="B32" s="348">
        <v>2017</v>
      </c>
      <c r="C32" s="350">
        <f>+ESI!K6</f>
        <v>5589065.8936523153</v>
      </c>
      <c r="D32" s="350">
        <v>5475170.1271854341</v>
      </c>
      <c r="E32" s="350">
        <v>5702961.6601191964</v>
      </c>
      <c r="F32" s="350">
        <f>+'Figura 21'!I29</f>
        <v>5382622</v>
      </c>
      <c r="H32" s="364"/>
      <c r="J32" s="348">
        <v>2017</v>
      </c>
      <c r="K32" s="349">
        <f>+ESI!S6</f>
        <v>0.36405907132617471</v>
      </c>
      <c r="L32" s="349">
        <f t="shared" si="0"/>
        <v>0.34647446010229255</v>
      </c>
      <c r="M32" s="349">
        <f t="shared" si="1"/>
        <v>0.38117862958196025</v>
      </c>
      <c r="N32" s="349">
        <f>+'Figura 21'!J29</f>
        <v>0.38615275412396632</v>
      </c>
      <c r="W32">
        <v>0.61882137041803975</v>
      </c>
      <c r="X32" s="68">
        <f t="shared" si="4"/>
        <v>0.38117862958196025</v>
      </c>
      <c r="Y32" s="366">
        <f t="shared" si="2"/>
        <v>0</v>
      </c>
      <c r="AA32">
        <v>0.65352553989770745</v>
      </c>
      <c r="AB32" s="53">
        <f t="shared" si="5"/>
        <v>0.34647446010229255</v>
      </c>
      <c r="AC32" s="365">
        <f t="shared" si="3"/>
        <v>0</v>
      </c>
    </row>
    <row r="33" spans="2:29" x14ac:dyDescent="0.25">
      <c r="B33" s="348">
        <v>2018</v>
      </c>
      <c r="C33" s="350">
        <f>+ESI!K7</f>
        <v>5779647.3578758053</v>
      </c>
      <c r="D33" s="350">
        <v>5660021.8585262196</v>
      </c>
      <c r="E33" s="350">
        <v>5899272.8572253892</v>
      </c>
      <c r="F33" s="350">
        <f>+'Figura 21'!I30</f>
        <v>5559430.666666667</v>
      </c>
      <c r="H33" s="364"/>
      <c r="J33" s="348">
        <v>2018</v>
      </c>
      <c r="K33" s="349">
        <f>+ESI!S7</f>
        <v>0.35462590390339799</v>
      </c>
      <c r="L33" s="349">
        <f t="shared" si="0"/>
        <v>0.33546763982813721</v>
      </c>
      <c r="M33" s="349">
        <f t="shared" si="1"/>
        <v>0.37397371609813668</v>
      </c>
      <c r="N33" s="349">
        <f>+'Figura 21'!J30</f>
        <v>0.37634331246083186</v>
      </c>
      <c r="W33">
        <v>0.62602628390186332</v>
      </c>
      <c r="X33" s="68">
        <f t="shared" si="4"/>
        <v>0.37397371609813668</v>
      </c>
      <c r="Y33" s="366">
        <f t="shared" si="2"/>
        <v>0</v>
      </c>
      <c r="AA33">
        <v>0.66453236017186279</v>
      </c>
      <c r="AB33" s="53">
        <f t="shared" si="5"/>
        <v>0.33546763982813721</v>
      </c>
      <c r="AC33" s="365">
        <f t="shared" si="3"/>
        <v>0</v>
      </c>
    </row>
    <row r="34" spans="2:29" x14ac:dyDescent="0.25">
      <c r="B34" s="348">
        <v>2019</v>
      </c>
      <c r="C34" s="350">
        <f>+ESI!K8</f>
        <v>6103090.6530670794</v>
      </c>
      <c r="D34" s="350">
        <v>5966757.7490699058</v>
      </c>
      <c r="E34" s="350">
        <v>6239423.5570642529</v>
      </c>
      <c r="F34" s="350">
        <f>+'Figura 21'!I31</f>
        <v>5848927.666666666</v>
      </c>
      <c r="H34" s="364"/>
      <c r="J34" s="348">
        <v>2019</v>
      </c>
      <c r="K34" s="349">
        <f>+ESI!S8</f>
        <v>0.33226901916397422</v>
      </c>
      <c r="L34" s="349">
        <f t="shared" si="0"/>
        <v>0.31202615801632838</v>
      </c>
      <c r="M34" s="349">
        <f t="shared" si="1"/>
        <v>0.35183539746280601</v>
      </c>
      <c r="N34" s="349">
        <f>+'Figura 21'!J31</f>
        <v>0.35635056038849333</v>
      </c>
      <c r="W34">
        <v>0.64816460253719399</v>
      </c>
      <c r="X34" s="68">
        <f t="shared" si="4"/>
        <v>0.35183539746280601</v>
      </c>
      <c r="Y34" s="366">
        <f t="shared" si="2"/>
        <v>0</v>
      </c>
      <c r="AA34">
        <v>0.68797384198367162</v>
      </c>
      <c r="AB34" s="53">
        <f t="shared" si="5"/>
        <v>0.31202615801632838</v>
      </c>
      <c r="AC34" s="365">
        <f t="shared" si="3"/>
        <v>0</v>
      </c>
    </row>
    <row r="35" spans="2:29" x14ac:dyDescent="0.25">
      <c r="B35" s="348">
        <v>2020</v>
      </c>
      <c r="C35" s="350">
        <f>+ESI!K9</f>
        <v>5608504.037333834</v>
      </c>
      <c r="D35" s="350">
        <v>5478275.6087314403</v>
      </c>
      <c r="E35" s="350">
        <v>5738732.4659362277</v>
      </c>
      <c r="F35" s="350">
        <f>+'Figura 21'!I32</f>
        <v>5710034.666666667</v>
      </c>
      <c r="H35" s="364"/>
      <c r="J35" s="348">
        <v>2020</v>
      </c>
      <c r="K35" s="349">
        <f>+ESI!S9</f>
        <v>0.3042159536065463</v>
      </c>
      <c r="L35" s="349">
        <f t="shared" si="0"/>
        <v>0.28089934096827784</v>
      </c>
      <c r="M35" s="349">
        <f t="shared" si="1"/>
        <v>0.32620810677937873</v>
      </c>
      <c r="N35" s="349">
        <f>+'Figura 21'!J32</f>
        <v>0.2885770530872459</v>
      </c>
      <c r="W35">
        <v>0.67379189322062127</v>
      </c>
      <c r="X35" s="68">
        <f t="shared" si="4"/>
        <v>0.32620810677937873</v>
      </c>
      <c r="Y35" s="366">
        <f t="shared" si="2"/>
        <v>0</v>
      </c>
      <c r="AA35">
        <v>0.71910065903172216</v>
      </c>
      <c r="AB35" s="53">
        <f t="shared" si="5"/>
        <v>0.28089934096827784</v>
      </c>
      <c r="AC35" s="365">
        <f t="shared" si="3"/>
        <v>0</v>
      </c>
    </row>
    <row r="36" spans="2:29" x14ac:dyDescent="0.25">
      <c r="B36" s="348">
        <v>2021</v>
      </c>
      <c r="C36" s="350">
        <f>+ESI!K10</f>
        <v>5998485.394386136</v>
      </c>
      <c r="D36" s="350">
        <v>5888995.1119541833</v>
      </c>
      <c r="E36" s="350">
        <v>6107975.6768180886</v>
      </c>
      <c r="F36" s="350">
        <f>+'Figura 21'!I33</f>
        <v>6140758</v>
      </c>
      <c r="H36" s="364"/>
      <c r="J36" s="348">
        <v>2021</v>
      </c>
      <c r="K36" s="349">
        <f>+ESI!S10</f>
        <v>0.3121740395466025</v>
      </c>
      <c r="L36" s="349">
        <f t="shared" si="0"/>
        <v>0.29512759940302014</v>
      </c>
      <c r="M36" s="349">
        <f t="shared" si="1"/>
        <v>0.32885744279249374</v>
      </c>
      <c r="N36" s="349">
        <f>+'Figura 21'!J33</f>
        <v>0.29239974000744828</v>
      </c>
      <c r="W36">
        <v>0.67114255720750626</v>
      </c>
      <c r="X36" s="68">
        <f t="shared" si="4"/>
        <v>0.32885744279249374</v>
      </c>
      <c r="Y36" s="366">
        <f t="shared" si="2"/>
        <v>0</v>
      </c>
      <c r="AA36">
        <v>0.70487240059697986</v>
      </c>
      <c r="AB36" s="53">
        <f t="shared" si="5"/>
        <v>0.29512759940302014</v>
      </c>
      <c r="AC36" s="365">
        <f t="shared" si="3"/>
        <v>0</v>
      </c>
    </row>
    <row r="37" spans="2:29" x14ac:dyDescent="0.25">
      <c r="B37" s="348">
        <v>2022</v>
      </c>
      <c r="C37" s="350">
        <f>+ESI!K11</f>
        <v>6266788.3115274096</v>
      </c>
      <c r="D37" s="350">
        <v>6153331.5042685932</v>
      </c>
      <c r="E37" s="350">
        <v>6380245.1187862279</v>
      </c>
      <c r="F37" s="350">
        <f>+'Figura 21'!I34</f>
        <v>6212609.666666666</v>
      </c>
      <c r="H37" s="364"/>
      <c r="J37" s="348">
        <v>2022</v>
      </c>
      <c r="K37" s="349">
        <f>+ESI!S11</f>
        <v>0.30336714205214382</v>
      </c>
      <c r="L37" s="349">
        <f t="shared" si="0"/>
        <v>0.28457392929678227</v>
      </c>
      <c r="M37" s="349">
        <f t="shared" si="1"/>
        <v>0.32026359315226083</v>
      </c>
      <c r="N37" s="349">
        <f>+'Figura 21'!J34</f>
        <v>0.30703287404041324</v>
      </c>
      <c r="W37">
        <v>0.67973640684773917</v>
      </c>
      <c r="X37" s="68">
        <f t="shared" si="4"/>
        <v>0.32026359315226083</v>
      </c>
      <c r="Y37" s="366">
        <f t="shared" si="2"/>
        <v>0</v>
      </c>
      <c r="AA37">
        <v>0.71542607070321773</v>
      </c>
      <c r="AB37" s="53">
        <f t="shared" si="5"/>
        <v>0.28457392929678227</v>
      </c>
      <c r="AC37" s="365">
        <f t="shared" si="3"/>
        <v>0</v>
      </c>
    </row>
    <row r="38" spans="2:29" x14ac:dyDescent="0.25">
      <c r="B38" s="368">
        <v>2023</v>
      </c>
      <c r="C38" s="370">
        <v>5870068.1902882457</v>
      </c>
      <c r="D38" s="370">
        <v>6274209.7265949128</v>
      </c>
      <c r="E38" s="370">
        <v>6482768.9921651287</v>
      </c>
      <c r="F38" s="371">
        <v>6080074.333333333</v>
      </c>
      <c r="H38" s="364"/>
      <c r="J38" s="368">
        <v>2023</v>
      </c>
      <c r="K38" s="369">
        <v>0.30943459173235038</v>
      </c>
      <c r="L38" s="369">
        <f t="shared" si="0"/>
        <v>0.29353670273831889</v>
      </c>
      <c r="M38" s="369">
        <f t="shared" si="1"/>
        <v>0.32548018015683045</v>
      </c>
      <c r="N38" s="372"/>
      <c r="W38">
        <v>0.67451981984316955</v>
      </c>
      <c r="X38" s="68">
        <f t="shared" si="4"/>
        <v>0.32548018015683045</v>
      </c>
      <c r="Y38" s="366">
        <f t="shared" si="2"/>
        <v>0</v>
      </c>
      <c r="AA38">
        <v>0.70646329726168111</v>
      </c>
      <c r="AB38" s="53">
        <f t="shared" si="5"/>
        <v>0.29353670273831889</v>
      </c>
      <c r="AC38" s="365">
        <f t="shared" si="3"/>
        <v>0</v>
      </c>
    </row>
  </sheetData>
  <mergeCells count="2">
    <mergeCell ref="B22:H24"/>
    <mergeCell ref="J22:Q24"/>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578DA-D906-407C-A597-9E13271DD451}">
  <sheetPr>
    <tabColor rgb="FFE9617B"/>
  </sheetPr>
  <dimension ref="B2:AE135"/>
  <sheetViews>
    <sheetView showGridLines="0" topLeftCell="A7" zoomScale="90" zoomScaleNormal="90" workbookViewId="0">
      <selection activeCell="V29" sqref="V29"/>
    </sheetView>
    <sheetView workbookViewId="1"/>
  </sheetViews>
  <sheetFormatPr baseColWidth="10" defaultColWidth="8.7109375" defaultRowHeight="15" x14ac:dyDescent="0.25"/>
  <cols>
    <col min="1" max="1" width="4.140625" customWidth="1"/>
    <col min="2" max="2" width="22.28515625" bestFit="1" customWidth="1"/>
    <col min="3" max="3" width="22.28515625" customWidth="1"/>
    <col min="6" max="18" width="8.7109375" hidden="1" customWidth="1"/>
    <col min="19" max="19" width="11.7109375" style="53" bestFit="1" customWidth="1"/>
    <col min="23" max="23" width="11.7109375" bestFit="1" customWidth="1"/>
    <col min="24" max="25" width="12.7109375" bestFit="1" customWidth="1"/>
    <col min="26" max="27" width="11.7109375" bestFit="1" customWidth="1"/>
    <col min="28" max="28" width="10.7109375" bestFit="1" customWidth="1"/>
    <col min="29" max="29" width="9.7109375" bestFit="1" customWidth="1"/>
    <col min="30" max="30" width="11.28515625" bestFit="1" customWidth="1"/>
    <col min="31" max="31" width="9.7109375" customWidth="1"/>
  </cols>
  <sheetData>
    <row r="2" spans="2:2" x14ac:dyDescent="0.25">
      <c r="B2" s="8" t="s">
        <v>544</v>
      </c>
    </row>
    <row r="21" spans="2:29" x14ac:dyDescent="0.25">
      <c r="B21" s="343" t="s">
        <v>545</v>
      </c>
    </row>
    <row r="25" spans="2:29" s="180" customFormat="1" x14ac:dyDescent="0.25">
      <c r="B25" s="181" t="s">
        <v>406</v>
      </c>
      <c r="C25" s="181" t="s">
        <v>405</v>
      </c>
      <c r="D25" s="181" t="s">
        <v>377</v>
      </c>
      <c r="E25" s="181" t="s">
        <v>404</v>
      </c>
      <c r="F25" s="181" t="s">
        <v>403</v>
      </c>
      <c r="G25" s="181" t="s">
        <v>402</v>
      </c>
      <c r="H25" s="181" t="s">
        <v>401</v>
      </c>
      <c r="I25" s="181" t="s">
        <v>400</v>
      </c>
      <c r="J25" s="181" t="s">
        <v>399</v>
      </c>
      <c r="K25" s="181" t="s">
        <v>398</v>
      </c>
      <c r="L25" s="181" t="s">
        <v>397</v>
      </c>
      <c r="M25" s="181" t="s">
        <v>396</v>
      </c>
      <c r="N25" s="181" t="s">
        <v>395</v>
      </c>
      <c r="O25" s="181" t="s">
        <v>394</v>
      </c>
      <c r="P25" s="181" t="s">
        <v>393</v>
      </c>
      <c r="Q25" s="181" t="s">
        <v>392</v>
      </c>
      <c r="R25" s="181" t="s">
        <v>391</v>
      </c>
      <c r="S25" s="351" t="s">
        <v>390</v>
      </c>
      <c r="T25" s="181" t="s">
        <v>389</v>
      </c>
      <c r="V25" s="181" t="s">
        <v>388</v>
      </c>
    </row>
    <row r="26" spans="2:29" x14ac:dyDescent="0.25">
      <c r="B26" t="str">
        <f>+VLOOKUP(E26,[2]id!A:B,2,0)</f>
        <v>Asalariado sector privado</v>
      </c>
      <c r="C26" t="str">
        <f>+VLOOKUP(E26,[2]id!A:C,3,0)</f>
        <v>Dependiente</v>
      </c>
      <c r="D26">
        <v>2013</v>
      </c>
      <c r="E26">
        <v>3</v>
      </c>
      <c r="F26">
        <v>4947043.280724491</v>
      </c>
      <c r="G26">
        <v>4947043.280724491</v>
      </c>
      <c r="H26">
        <v>0</v>
      </c>
      <c r="I26">
        <v>0</v>
      </c>
      <c r="J26">
        <v>4087357.9241514262</v>
      </c>
      <c r="K26">
        <v>0</v>
      </c>
      <c r="L26">
        <v>0</v>
      </c>
      <c r="M26">
        <v>0</v>
      </c>
      <c r="N26">
        <v>4947043.280724491</v>
      </c>
      <c r="O26">
        <v>4087357.9241514262</v>
      </c>
      <c r="P26" s="53">
        <v>1</v>
      </c>
      <c r="Q26" s="53">
        <v>0</v>
      </c>
      <c r="R26" s="53">
        <v>0.82622239026638045</v>
      </c>
      <c r="S26" s="53">
        <v>0.17377760973361961</v>
      </c>
      <c r="T26">
        <f t="shared" ref="T26:T57" si="0">+N26-O26</f>
        <v>859685.35657306481</v>
      </c>
      <c r="V26" s="181" t="s">
        <v>377</v>
      </c>
      <c r="W26" s="265" t="s">
        <v>386</v>
      </c>
      <c r="X26" s="265" t="s">
        <v>385</v>
      </c>
      <c r="Y26" s="265" t="s">
        <v>384</v>
      </c>
      <c r="Z26" s="265" t="s">
        <v>383</v>
      </c>
      <c r="AA26" s="265" t="s">
        <v>382</v>
      </c>
      <c r="AB26" s="265" t="s">
        <v>381</v>
      </c>
      <c r="AC26" s="265" t="s">
        <v>5</v>
      </c>
    </row>
    <row r="27" spans="2:29" x14ac:dyDescent="0.25">
      <c r="B27" t="str">
        <f>+VLOOKUP(E27,[2]id!A:B,2,0)</f>
        <v>Asalariado sector público</v>
      </c>
      <c r="C27" t="str">
        <f>+VLOOKUP(E27,[2]id!A:C,3,0)</f>
        <v>Dependiente</v>
      </c>
      <c r="D27">
        <v>2013</v>
      </c>
      <c r="E27">
        <v>4</v>
      </c>
      <c r="F27">
        <v>912371.229046116</v>
      </c>
      <c r="G27">
        <v>912371.229046116</v>
      </c>
      <c r="H27">
        <v>0</v>
      </c>
      <c r="I27">
        <v>0</v>
      </c>
      <c r="J27">
        <v>823287.07842224464</v>
      </c>
      <c r="K27">
        <v>0</v>
      </c>
      <c r="L27">
        <v>0</v>
      </c>
      <c r="M27">
        <v>0</v>
      </c>
      <c r="N27">
        <v>912371.229046116</v>
      </c>
      <c r="O27">
        <v>823287.07842224464</v>
      </c>
      <c r="P27" s="53">
        <v>1</v>
      </c>
      <c r="Q27" s="53">
        <v>0</v>
      </c>
      <c r="R27" s="53">
        <v>0.90235975468339913</v>
      </c>
      <c r="S27" s="53">
        <v>9.7640245316600871E-2</v>
      </c>
      <c r="T27">
        <f t="shared" si="0"/>
        <v>89084.150623871363</v>
      </c>
      <c r="V27">
        <v>2013</v>
      </c>
      <c r="W27" s="53" cm="1">
        <f t="array" ref="W27">INDEX($S$26:$S$1024, MATCH($V27 &amp; " Empleador", $D$26:$D$1024 &amp; " " &amp; $B$26:$B$1024, 0))</f>
        <v>0.62122875776967135</v>
      </c>
      <c r="X27" s="53" cm="1">
        <f t="array" ref="X27">INDEX($S$26:$S$1024, MATCH($V27 &amp; " Cuenta propia", $D$26:$D$1024 &amp; " " &amp; $B$26:$B$1024, 0))</f>
        <v>0.8905624919667382</v>
      </c>
      <c r="Y27" s="53" cm="1">
        <f t="array" ref="Y27">INDEX($S$26:$S$1024, MATCH($V27 &amp; " Asalariado sector privado", $D$26:$D$1024 &amp; " " &amp; $B$26:$B$1024, 0))</f>
        <v>0.17377760973361961</v>
      </c>
      <c r="Z27" s="53" cm="1">
        <f t="array" ref="Z27">INDEX($S$26:$S$1024, MATCH($V27 &amp; " Asalariado sector público", $D$26:$D$1024 &amp; " " &amp; $B$26:$B$1024, 0))</f>
        <v>9.7640245316600871E-2</v>
      </c>
      <c r="AA27" s="53" cm="1">
        <f t="array" ref="AA27">INDEX($S$26:$S$1024, MATCH($V27 &amp; " Servicio doméstico puertas afuera", $D$26:$D$1024 &amp; " " &amp; $B$26:$B$1024, 0))</f>
        <v>0.59747770617914642</v>
      </c>
      <c r="AB27" s="53" cm="1">
        <f t="array" ref="AB27">INDEX($S$26:$S$1024, MATCH($V27 &amp; " Servicio doméstico puertas adentro", $D$26:$D$1024 &amp; " " &amp; $B$26:$B$1024, 0))</f>
        <v>0.12444473684244541</v>
      </c>
      <c r="AC27" s="53" cm="1">
        <f t="array" ref="AC27">INDEX($S$26:$S$1024, MATCH($V27 &amp; " Total", $D$26:$D$1024 &amp; " " &amp; $B$26:$B$1024, 0))</f>
        <v>0.34300880695164915</v>
      </c>
    </row>
    <row r="28" spans="2:29" x14ac:dyDescent="0.25">
      <c r="B28" t="str">
        <f>+VLOOKUP(E28,[2]id!A:B,2,0)</f>
        <v>No aplica</v>
      </c>
      <c r="C28" t="str">
        <f>+VLOOKUP(E28,[2]id!A:C,3,0)</f>
        <v>No aplica</v>
      </c>
      <c r="D28">
        <v>2013</v>
      </c>
      <c r="E28">
        <v>0</v>
      </c>
      <c r="F28">
        <v>5801547.9282483077</v>
      </c>
      <c r="G28">
        <v>490069.22612084931</v>
      </c>
      <c r="H28">
        <v>490069.22612084931</v>
      </c>
      <c r="I28">
        <v>0</v>
      </c>
      <c r="J28">
        <v>0</v>
      </c>
      <c r="K28">
        <v>0</v>
      </c>
      <c r="L28">
        <v>0</v>
      </c>
      <c r="M28">
        <v>0</v>
      </c>
      <c r="N28">
        <v>0</v>
      </c>
      <c r="O28">
        <v>0</v>
      </c>
      <c r="P28" s="53">
        <v>0</v>
      </c>
      <c r="Q28" s="53"/>
      <c r="R28" s="53"/>
      <c r="T28">
        <f t="shared" si="0"/>
        <v>0</v>
      </c>
      <c r="V28">
        <v>2014</v>
      </c>
      <c r="W28" s="53" cm="1">
        <f t="array" ref="W28">INDEX($S$26:$S$1024, MATCH($V28 &amp; " Empleador", $D$26:$D$1024 &amp; " " &amp; $B$26:$B$1024, 0))</f>
        <v>0.59055237961766682</v>
      </c>
      <c r="X28" s="53" cm="1">
        <f t="array" ref="X28">INDEX($S$26:$S$1024, MATCH($V28 &amp; " Cuenta propia", $D$26:$D$1024 &amp; " " &amp; $B$26:$B$1024, 0))</f>
        <v>0.90230472858129029</v>
      </c>
      <c r="Y28" s="53" cm="1">
        <f t="array" ref="Y28">INDEX($S$26:$S$1024, MATCH($V28 &amp; " Asalariado sector privado", $D$26:$D$1024 &amp; " " &amp; $B$26:$B$1024, 0))</f>
        <v>0.17695831591656369</v>
      </c>
      <c r="Z28" s="53" cm="1">
        <f t="array" ref="Z28">INDEX($S$26:$S$1024, MATCH($V28 &amp; " Asalariado sector público", $D$26:$D$1024 &amp; " " &amp; $B$26:$B$1024, 0))</f>
        <v>0.1378512083009239</v>
      </c>
      <c r="AA28" s="53" cm="1">
        <f t="array" ref="AA28">INDEX($S$26:$S$1024, MATCH($V28 &amp; " Servicio doméstico puertas afuera", $D$26:$D$1024 &amp; " " &amp; $B$26:$B$1024, 0))</f>
        <v>0.60930715110634748</v>
      </c>
      <c r="AB28" s="53" cm="1">
        <f t="array" ref="AB28">INDEX($S$26:$S$1024, MATCH($V28 &amp; " Servicio doméstico puertas adentro", $D$26:$D$1024 &amp; " " &amp; $B$26:$B$1024, 0))</f>
        <v>0.1589009793237153</v>
      </c>
      <c r="AC28" s="53" cm="1">
        <f t="array" ref="AC28">INDEX($S$26:$S$1024, MATCH($V28 &amp; " Total", $D$26:$D$1024 &amp; " " &amp; $B$26:$B$1024, 0))</f>
        <v>0.35431474039339128</v>
      </c>
    </row>
    <row r="29" spans="2:29" x14ac:dyDescent="0.25">
      <c r="B29" t="str">
        <f>+VLOOKUP(E29,[2]id!A:B,2,0)</f>
        <v>Cuenta propia</v>
      </c>
      <c r="C29" t="str">
        <f>+VLOOKUP(E29,[2]id!A:C,3,0)</f>
        <v>Independiente</v>
      </c>
      <c r="D29">
        <v>2013</v>
      </c>
      <c r="E29">
        <v>2</v>
      </c>
      <c r="F29">
        <v>1539753.76839452</v>
      </c>
      <c r="G29">
        <v>1539753.76839452</v>
      </c>
      <c r="H29">
        <v>0</v>
      </c>
      <c r="I29">
        <v>0</v>
      </c>
      <c r="J29">
        <v>0</v>
      </c>
      <c r="K29">
        <v>0</v>
      </c>
      <c r="L29">
        <v>168506.81539792041</v>
      </c>
      <c r="M29">
        <v>0</v>
      </c>
      <c r="N29">
        <v>1539753.76839452</v>
      </c>
      <c r="O29">
        <v>168506.81539792041</v>
      </c>
      <c r="P29" s="53">
        <v>1</v>
      </c>
      <c r="Q29" s="53">
        <v>0</v>
      </c>
      <c r="R29" s="53">
        <v>0.1094375080332618</v>
      </c>
      <c r="S29" s="53">
        <v>0.8905624919667382</v>
      </c>
      <c r="T29">
        <f t="shared" si="0"/>
        <v>1371246.9529965997</v>
      </c>
      <c r="V29">
        <v>2015</v>
      </c>
      <c r="W29" s="53" cm="1">
        <f t="array" ref="W29">INDEX($S$26:$S$1024, MATCH($V29 &amp; " Empleador", $D$26:$D$1024 &amp; " " &amp; $B$26:$B$1024, 0))</f>
        <v>0.6113800054590941</v>
      </c>
      <c r="X29" s="53" cm="1">
        <f t="array" ref="X29">INDEX($S$26:$S$1024, MATCH($V29 &amp; " Cuenta propia", $D$26:$D$1024 &amp; " " &amp; $B$26:$B$1024, 0))</f>
        <v>0.88917179343408226</v>
      </c>
      <c r="Y29" s="53" cm="1">
        <f t="array" ref="Y29">INDEX($S$26:$S$1024, MATCH($V29 &amp; " Asalariado sector privado", $D$26:$D$1024 &amp; " " &amp; $B$26:$B$1024, 0))</f>
        <v>0.17652181991511481</v>
      </c>
      <c r="Z29" s="53" cm="1">
        <f t="array" ref="Z29">INDEX($S$26:$S$1024, MATCH($V29 &amp; " Asalariado sector público", $D$26:$D$1024 &amp; " " &amp; $B$26:$B$1024, 0))</f>
        <v>0.1474967690233038</v>
      </c>
      <c r="AA29" s="53" cm="1">
        <f t="array" ref="AA29">INDEX($S$26:$S$1024, MATCH($V29 &amp; " Servicio doméstico puertas afuera", $D$26:$D$1024 &amp; " " &amp; $B$26:$B$1024, 0))</f>
        <v>0.53624144493245185</v>
      </c>
      <c r="AB29" s="53" cm="1">
        <f t="array" ref="AB29">INDEX($S$26:$S$1024, MATCH($V29 &amp; " Servicio doméstico puertas adentro", $D$26:$D$1024 &amp; " " &amp; $B$26:$B$1024, 0))</f>
        <v>0.14390966265059801</v>
      </c>
      <c r="AC29" s="53" cm="1">
        <f t="array" ref="AC29">INDEX($S$26:$S$1024, MATCH($V29 &amp; " Total", $D$26:$D$1024 &amp; " " &amp; $B$26:$B$1024, 0))</f>
        <v>0.35149331159797947</v>
      </c>
    </row>
    <row r="30" spans="2:29" x14ac:dyDescent="0.25">
      <c r="B30" t="str">
        <f>+VLOOKUP(E30,[2]id!A:B,2,0)</f>
        <v>Empleador</v>
      </c>
      <c r="C30" t="str">
        <f>+VLOOKUP(E30,[2]id!A:C,3,0)</f>
        <v>Independiente</v>
      </c>
      <c r="D30">
        <v>2013</v>
      </c>
      <c r="E30">
        <v>1</v>
      </c>
      <c r="F30">
        <v>353792.040776079</v>
      </c>
      <c r="G30">
        <v>353792.040776079</v>
      </c>
      <c r="H30">
        <v>0</v>
      </c>
      <c r="I30">
        <v>0</v>
      </c>
      <c r="J30">
        <v>0</v>
      </c>
      <c r="K30">
        <v>0</v>
      </c>
      <c r="L30">
        <v>134006.25077595859</v>
      </c>
      <c r="M30">
        <v>0</v>
      </c>
      <c r="N30">
        <v>353792.040776079</v>
      </c>
      <c r="O30">
        <v>134006.25077595859</v>
      </c>
      <c r="P30" s="53">
        <v>1</v>
      </c>
      <c r="Q30" s="53">
        <v>0</v>
      </c>
      <c r="R30" s="53">
        <v>0.37877124223032871</v>
      </c>
      <c r="S30" s="53">
        <v>0.62122875776967135</v>
      </c>
      <c r="T30">
        <f t="shared" si="0"/>
        <v>219785.79000012041</v>
      </c>
      <c r="V30">
        <v>2016</v>
      </c>
      <c r="W30" s="53" cm="1">
        <f t="array" ref="W30">INDEX($S$26:$S$1024, MATCH($V30 &amp; " Empleador", $D$26:$D$1024 &amp; " " &amp; $B$26:$B$1024, 0))</f>
        <v>0.58791002842227891</v>
      </c>
      <c r="X30" s="53" cm="1">
        <f t="array" ref="X30">INDEX($S$26:$S$1024, MATCH($V30 &amp; " Cuenta propia", $D$26:$D$1024 &amp; " " &amp; $B$26:$B$1024, 0))</f>
        <v>0.89522943113883002</v>
      </c>
      <c r="Y30" s="53" cm="1">
        <f t="array" ref="Y30">INDEX($S$26:$S$1024, MATCH($V30 &amp; " Asalariado sector privado", $D$26:$D$1024 &amp; " " &amp; $B$26:$B$1024, 0))</f>
        <v>0.1782985649210154</v>
      </c>
      <c r="Z30" s="53" cm="1">
        <f t="array" ref="Z30">INDEX($S$26:$S$1024, MATCH($V30 &amp; " Asalariado sector público", $D$26:$D$1024 &amp; " " &amp; $B$26:$B$1024, 0))</f>
        <v>0.15592381455794241</v>
      </c>
      <c r="AA30" s="53" cm="1">
        <f t="array" ref="AA30">INDEX($S$26:$S$1024, MATCH($V30 &amp; " Servicio doméstico puertas afuera", $D$26:$D$1024 &amp; " " &amp; $B$26:$B$1024, 0))</f>
        <v>0.50106466609265743</v>
      </c>
      <c r="AB30" s="53" cm="1">
        <f t="array" ref="AB30">INDEX($S$26:$S$1024, MATCH($V30 &amp; " Servicio doméstico puertas adentro", $D$26:$D$1024 &amp; " " &amp; $B$26:$B$1024, 0))</f>
        <v>0.14123028778762489</v>
      </c>
      <c r="AC30" s="53" cm="1">
        <f t="array" ref="AC30">INDEX($S$26:$S$1024, MATCH($V30 &amp; " Total", $D$26:$D$1024 &amp; " " &amp; $B$26:$B$1024, 0))</f>
        <v>0.35825097043634513</v>
      </c>
    </row>
    <row r="31" spans="2:29" x14ac:dyDescent="0.25">
      <c r="B31" t="str">
        <f>+VLOOKUP(E31,[2]id!A:B,2,0)</f>
        <v>Familiar no remunerado</v>
      </c>
      <c r="C31" t="str">
        <f>+VLOOKUP(E31,[2]id!A:C,3,0)</f>
        <v>Independiente</v>
      </c>
      <c r="D31">
        <v>2013</v>
      </c>
      <c r="E31">
        <v>7</v>
      </c>
      <c r="F31">
        <v>103638.74808526591</v>
      </c>
      <c r="G31">
        <v>103638.74808526591</v>
      </c>
      <c r="H31">
        <v>0</v>
      </c>
      <c r="I31">
        <v>0</v>
      </c>
      <c r="J31">
        <v>0</v>
      </c>
      <c r="K31">
        <v>0</v>
      </c>
      <c r="L31">
        <v>0</v>
      </c>
      <c r="M31">
        <v>0</v>
      </c>
      <c r="N31">
        <v>103638.74808526591</v>
      </c>
      <c r="O31">
        <v>0</v>
      </c>
      <c r="P31" s="53">
        <v>1</v>
      </c>
      <c r="Q31" s="53">
        <v>0</v>
      </c>
      <c r="R31" s="53">
        <v>0</v>
      </c>
      <c r="S31" s="53">
        <v>1</v>
      </c>
      <c r="T31">
        <f t="shared" si="0"/>
        <v>103638.74808526591</v>
      </c>
      <c r="V31">
        <v>2017</v>
      </c>
      <c r="W31" s="53" cm="1">
        <f t="array" ref="W31">INDEX($S$26:$S$1024, MATCH($V31 &amp; " Empleador", $D$26:$D$1024 &amp; " " &amp; $B$26:$B$1024, 0))</f>
        <v>0.5685127206861551</v>
      </c>
      <c r="X31" s="53" cm="1">
        <f t="array" ref="X31">INDEX($S$26:$S$1024, MATCH($V31 &amp; " Cuenta propia", $D$26:$D$1024 &amp; " " &amp; $B$26:$B$1024, 0))</f>
        <v>0.89003675825548045</v>
      </c>
      <c r="Y31" s="53" cm="1">
        <f t="array" ref="Y31">INDEX($S$26:$S$1024, MATCH($V31 &amp; " Asalariado sector privado", $D$26:$D$1024 &amp; " " &amp; $B$26:$B$1024, 0))</f>
        <v>0.1894812429672369</v>
      </c>
      <c r="Z31" s="53" cm="1">
        <f t="array" ref="Z31">INDEX($S$26:$S$1024, MATCH($V31 &amp; " Asalariado sector público", $D$26:$D$1024 &amp; " " &amp; $B$26:$B$1024, 0))</f>
        <v>0.14723912655393581</v>
      </c>
      <c r="AA31" s="53" cm="1">
        <f t="array" ref="AA31">INDEX($S$26:$S$1024, MATCH($V31 &amp; " Servicio doméstico puertas afuera", $D$26:$D$1024 &amp; " " &amp; $B$26:$B$1024, 0))</f>
        <v>0.52450533329579185</v>
      </c>
      <c r="AB31" s="53" cm="1">
        <f t="array" ref="AB31">INDEX($S$26:$S$1024, MATCH($V31 &amp; " Servicio doméstico puertas adentro", $D$26:$D$1024 &amp; " " &amp; $B$26:$B$1024, 0))</f>
        <v>0.19705361507885619</v>
      </c>
      <c r="AC31" s="53" cm="1">
        <f t="array" ref="AC31">INDEX($S$26:$S$1024, MATCH($V31 &amp; " Total", $D$26:$D$1024 &amp; " " &amp; $B$26:$B$1024, 0))</f>
        <v>0.36405907132617499</v>
      </c>
    </row>
    <row r="32" spans="2:29" x14ac:dyDescent="0.25">
      <c r="B32" t="str">
        <f>+VLOOKUP(E32,[2]id!A:B,2,0)</f>
        <v>Servicio doméstico puertas afuera</v>
      </c>
      <c r="C32" t="str">
        <f>+VLOOKUP(E32,[2]id!A:C,3,0)</f>
        <v>Dependiente</v>
      </c>
      <c r="D32">
        <v>2013</v>
      </c>
      <c r="E32">
        <v>5</v>
      </c>
      <c r="F32">
        <v>253098.49483849629</v>
      </c>
      <c r="G32">
        <v>253098.49483849629</v>
      </c>
      <c r="H32">
        <v>0</v>
      </c>
      <c r="I32">
        <v>0</v>
      </c>
      <c r="J32">
        <v>101877.78670499699</v>
      </c>
      <c r="K32">
        <v>0</v>
      </c>
      <c r="L32">
        <v>0</v>
      </c>
      <c r="M32">
        <v>0</v>
      </c>
      <c r="N32">
        <v>253098.49483849629</v>
      </c>
      <c r="O32">
        <v>101877.78670499699</v>
      </c>
      <c r="P32" s="53">
        <v>1</v>
      </c>
      <c r="Q32" s="53">
        <v>0</v>
      </c>
      <c r="R32" s="53">
        <v>0.40252229382085358</v>
      </c>
      <c r="S32" s="53">
        <v>0.59747770617914642</v>
      </c>
      <c r="T32">
        <f t="shared" si="0"/>
        <v>151220.70813349931</v>
      </c>
      <c r="V32">
        <v>2018</v>
      </c>
      <c r="W32" s="53" cm="1">
        <f t="array" ref="W32">INDEX($S$26:$S$1024, MATCH($V32 &amp; " Empleador", $D$26:$D$1024 &amp; " " &amp; $B$26:$B$1024, 0))</f>
        <v>0.59944652551038669</v>
      </c>
      <c r="X32" s="53" cm="1">
        <f t="array" ref="X32">INDEX($S$26:$S$1024, MATCH($V32 &amp; " Cuenta propia", $D$26:$D$1024 &amp; " " &amp; $B$26:$B$1024, 0))</f>
        <v>0.88071770886337553</v>
      </c>
      <c r="Y32" s="53" cm="1">
        <f t="array" ref="Y32">INDEX($S$26:$S$1024, MATCH($V32 &amp; " Asalariado sector privado", $D$26:$D$1024 &amp; " " &amp; $B$26:$B$1024, 0))</f>
        <v>0.1779742292412031</v>
      </c>
      <c r="Z32" s="53" cm="1">
        <f t="array" ref="Z32">INDEX($S$26:$S$1024, MATCH($V32 &amp; " Asalariado sector público", $D$26:$D$1024 &amp; " " &amp; $B$26:$B$1024, 0))</f>
        <v>0.1237713318026827</v>
      </c>
      <c r="AA32" s="53" cm="1">
        <f t="array" ref="AA32">INDEX($S$26:$S$1024, MATCH($V32 &amp; " Servicio doméstico puertas afuera", $D$26:$D$1024 &amp; " " &amp; $B$26:$B$1024, 0))</f>
        <v>0.57817216633900936</v>
      </c>
      <c r="AB32" s="53" cm="1">
        <f t="array" ref="AB32">INDEX($S$26:$S$1024, MATCH($V32 &amp; " Servicio doméstico puertas adentro", $D$26:$D$1024 &amp; " " &amp; $B$26:$B$1024, 0))</f>
        <v>0.19610148900944879</v>
      </c>
      <c r="AC32" s="53" cm="1">
        <f t="array" ref="AC32">INDEX($S$26:$S$1024, MATCH($V32 &amp; " Total", $D$26:$D$1024 &amp; " " &amp; $B$26:$B$1024, 0))</f>
        <v>0.35462590390339799</v>
      </c>
    </row>
    <row r="33" spans="2:31" x14ac:dyDescent="0.25">
      <c r="B33" t="str">
        <f>+VLOOKUP(E33,[2]id!A:B,2,0)</f>
        <v>Servicio doméstico puertas adentro</v>
      </c>
      <c r="C33" t="str">
        <f>+VLOOKUP(E33,[2]id!A:C,3,0)</f>
        <v>Dependiente</v>
      </c>
      <c r="D33">
        <v>2013</v>
      </c>
      <c r="E33">
        <v>6</v>
      </c>
      <c r="F33">
        <v>59314.511172599698</v>
      </c>
      <c r="G33">
        <v>59314.511172599698</v>
      </c>
      <c r="H33">
        <v>0</v>
      </c>
      <c r="I33">
        <v>0</v>
      </c>
      <c r="J33">
        <v>51933.132438787237</v>
      </c>
      <c r="K33">
        <v>0</v>
      </c>
      <c r="L33">
        <v>0</v>
      </c>
      <c r="M33">
        <v>0</v>
      </c>
      <c r="N33">
        <v>59314.511172599698</v>
      </c>
      <c r="O33">
        <v>51933.132438787237</v>
      </c>
      <c r="P33" s="53">
        <v>1</v>
      </c>
      <c r="Q33" s="53">
        <v>0</v>
      </c>
      <c r="R33" s="53">
        <v>0.87555526315755461</v>
      </c>
      <c r="S33" s="53">
        <v>0.12444473684244541</v>
      </c>
      <c r="T33">
        <f t="shared" si="0"/>
        <v>7381.3787338124603</v>
      </c>
      <c r="V33">
        <v>2019</v>
      </c>
      <c r="W33" s="53" cm="1">
        <f t="array" ref="W33">INDEX($S$26:$S$1024, MATCH($V33 &amp; " Empleador", $D$26:$D$1024 &amp; " " &amp; $B$26:$B$1024, 0))</f>
        <v>0.64710287958581447</v>
      </c>
      <c r="X33" s="53" cm="1">
        <f t="array" ref="X33">INDEX($S$26:$S$1024, MATCH($V33 &amp; " Cuenta propia", $D$26:$D$1024 &amp; " " &amp; $B$26:$B$1024, 0))</f>
        <v>0.89010884750534303</v>
      </c>
      <c r="Y33" s="53" cm="1">
        <f t="array" ref="Y33">INDEX($S$26:$S$1024, MATCH($V33 &amp; " Asalariado sector privado", $D$26:$D$1024 &amp; " " &amp; $B$26:$B$1024, 0))</f>
        <v>0.15918169605846219</v>
      </c>
      <c r="Z33" s="53" cm="1">
        <f t="array" ref="Z33">INDEX($S$26:$S$1024, MATCH($V33 &amp; " Asalariado sector público", $D$26:$D$1024 &amp; " " &amp; $B$26:$B$1024, 0))</f>
        <v>4.7704815654777473E-2</v>
      </c>
      <c r="AA33" s="53" cm="1">
        <f t="array" ref="AA33">INDEX($S$26:$S$1024, MATCH($V33 &amp; " Servicio doméstico puertas afuera", $D$26:$D$1024 &amp; " " &amp; $B$26:$B$1024, 0))</f>
        <v>0.53839655106165396</v>
      </c>
      <c r="AB33" s="53" cm="1">
        <f t="array" ref="AB33">INDEX($S$26:$S$1024, MATCH($V33 &amp; " Servicio doméstico puertas adentro", $D$26:$D$1024 &amp; " " &amp; $B$26:$B$1024, 0))</f>
        <v>0.13843357012788909</v>
      </c>
      <c r="AC33" s="53" cm="1">
        <f t="array" ref="AC33">INDEX($S$26:$S$1024, MATCH($V33 &amp; " Total", $D$26:$D$1024 &amp; " " &amp; $B$26:$B$1024, 0))</f>
        <v>0.33226901916397411</v>
      </c>
    </row>
    <row r="34" spans="2:31" x14ac:dyDescent="0.25">
      <c r="B34" t="str">
        <f>+VLOOKUP(E34,[2]id!A:B,2,0)</f>
        <v>Cuenta propia</v>
      </c>
      <c r="C34" t="str">
        <f>+VLOOKUP(E34,[2]id!A:C,3,0)</f>
        <v>Independiente</v>
      </c>
      <c r="D34">
        <v>2014</v>
      </c>
      <c r="E34">
        <v>2</v>
      </c>
      <c r="F34">
        <v>1608330.141060865</v>
      </c>
      <c r="G34">
        <v>1608330.141060865</v>
      </c>
      <c r="H34">
        <v>0</v>
      </c>
      <c r="I34">
        <v>0</v>
      </c>
      <c r="J34">
        <v>0</v>
      </c>
      <c r="K34">
        <v>0</v>
      </c>
      <c r="L34">
        <v>157126.2496618329</v>
      </c>
      <c r="M34">
        <v>0</v>
      </c>
      <c r="N34">
        <v>1608330.141060865</v>
      </c>
      <c r="O34">
        <v>157126.2496618329</v>
      </c>
      <c r="P34" s="53">
        <v>1</v>
      </c>
      <c r="Q34" s="53">
        <v>0</v>
      </c>
      <c r="R34" s="53">
        <v>9.7695271418709692E-2</v>
      </c>
      <c r="S34" s="53">
        <v>0.90230472858129029</v>
      </c>
      <c r="T34">
        <f t="shared" si="0"/>
        <v>1451203.8913990322</v>
      </c>
      <c r="V34">
        <v>2020</v>
      </c>
      <c r="W34" s="53" cm="1">
        <f t="array" ref="W34">INDEX($S$26:$S$1024, MATCH($V34 &amp; " Empleador", $D$26:$D$1024 &amp; " " &amp; $B$26:$B$1024, 0))</f>
        <v>0.62527753541128195</v>
      </c>
      <c r="X34" s="53" cm="1">
        <f t="array" ref="X34">INDEX($S$26:$S$1024, MATCH($V34 &amp; " Cuenta propia", $D$26:$D$1024 &amp; " " &amp; $B$26:$B$1024, 0))</f>
        <v>0.89937709579966818</v>
      </c>
      <c r="Y34" s="53" cm="1">
        <f t="array" ref="Y34">INDEX($S$26:$S$1024, MATCH($V34 &amp; " Asalariado sector privado", $D$26:$D$1024 &amp; " " &amp; $B$26:$B$1024, 0))</f>
        <v>0.13883129255859941</v>
      </c>
      <c r="Z34" s="53" cm="1">
        <f t="array" ref="Z34">INDEX($S$26:$S$1024, MATCH($V34 &amp; " Asalariado sector público", $D$26:$D$1024 &amp; " " &amp; $B$26:$B$1024, 0))</f>
        <v>5.3217605551943097E-2</v>
      </c>
      <c r="AA34" s="53" cm="1">
        <f t="array" ref="AA34">INDEX($S$26:$S$1024, MATCH($V34 &amp; " Servicio doméstico puertas afuera", $D$26:$D$1024 &amp; " " &amp; $B$26:$B$1024, 0))</f>
        <v>0.44280018514458991</v>
      </c>
      <c r="AB34" s="53" cm="1">
        <f t="array" ref="AB34">INDEX($S$26:$S$1024, MATCH($V34 &amp; " Servicio doméstico puertas adentro", $D$26:$D$1024 &amp; " " &amp; $B$26:$B$1024, 0))</f>
        <v>0.25402953350616131</v>
      </c>
      <c r="AC34" s="53" cm="1">
        <f t="array" ref="AC34">INDEX($S$26:$S$1024, MATCH($V34 &amp; " Total", $D$26:$D$1024 &amp; " " &amp; $B$26:$B$1024, 0))</f>
        <v>0.3042159536065463</v>
      </c>
    </row>
    <row r="35" spans="2:31" x14ac:dyDescent="0.25">
      <c r="B35" t="str">
        <f>+VLOOKUP(E35,[2]id!A:B,2,0)</f>
        <v>No aplica</v>
      </c>
      <c r="C35" t="str">
        <f>+VLOOKUP(E35,[2]id!A:C,3,0)</f>
        <v>No aplica</v>
      </c>
      <c r="D35">
        <v>2014</v>
      </c>
      <c r="E35">
        <v>0</v>
      </c>
      <c r="F35">
        <v>5904242.0412419355</v>
      </c>
      <c r="G35">
        <v>530134.50039564958</v>
      </c>
      <c r="H35">
        <v>530134.50039564958</v>
      </c>
      <c r="I35">
        <v>0</v>
      </c>
      <c r="J35">
        <v>0</v>
      </c>
      <c r="K35">
        <v>0</v>
      </c>
      <c r="L35">
        <v>0</v>
      </c>
      <c r="M35">
        <v>0</v>
      </c>
      <c r="N35">
        <v>0</v>
      </c>
      <c r="O35">
        <v>0</v>
      </c>
      <c r="P35" s="53">
        <v>0</v>
      </c>
      <c r="Q35" s="53"/>
      <c r="R35" s="53"/>
      <c r="T35">
        <f t="shared" si="0"/>
        <v>0</v>
      </c>
      <c r="V35">
        <v>2021</v>
      </c>
      <c r="W35" s="53" cm="1">
        <f t="array" ref="W35">INDEX($S$26:$S$1024, MATCH($V35 &amp; " Empleador", $D$26:$D$1024 &amp; " " &amp; $B$26:$B$1024, 0))</f>
        <v>0.55999717977636942</v>
      </c>
      <c r="X35" s="53" cm="1">
        <f t="array" ref="X35">INDEX($S$26:$S$1024, MATCH($V35 &amp; " Cuenta propia", $D$26:$D$1024 &amp; " " &amp; $B$26:$B$1024, 0))</f>
        <v>0.89899395589550368</v>
      </c>
      <c r="Y35" s="53" cm="1">
        <f t="array" ref="Y35">INDEX($S$26:$S$1024, MATCH($V35 &amp; " Asalariado sector privado", $D$26:$D$1024 &amp; " " &amp; $B$26:$B$1024, 0))</f>
        <v>0.1248020659724121</v>
      </c>
      <c r="Z35" s="53" cm="1">
        <f t="array" ref="Z35">INDEX($S$26:$S$1024, MATCH($V35 &amp; " Asalariado sector público", $D$26:$D$1024 &amp; " " &amp; $B$26:$B$1024, 0))</f>
        <v>5.0045384333138883E-2</v>
      </c>
      <c r="AA35" s="53" cm="1">
        <f t="array" ref="AA35">INDEX($S$26:$S$1024, MATCH($V35 &amp; " Servicio doméstico puertas afuera", $D$26:$D$1024 &amp; " " &amp; $B$26:$B$1024, 0))</f>
        <v>0.54701115776626719</v>
      </c>
      <c r="AB35" s="53" cm="1">
        <f t="array" ref="AB35">INDEX($S$26:$S$1024, MATCH($V35 &amp; " Servicio doméstico puertas adentro", $D$26:$D$1024 &amp; " " &amp; $B$26:$B$1024, 0))</f>
        <v>0.21799858411786621</v>
      </c>
      <c r="AC35" s="53" cm="1">
        <f t="array" ref="AC35">INDEX($S$26:$S$1024, MATCH($V35 &amp; " Total", $D$26:$D$1024 &amp; " " &amp; $B$26:$B$1024, 0))</f>
        <v>0.31217403954660261</v>
      </c>
    </row>
    <row r="36" spans="2:31" x14ac:dyDescent="0.25">
      <c r="B36" t="str">
        <f>+VLOOKUP(E36,[2]id!A:B,2,0)</f>
        <v>Asalariado sector público</v>
      </c>
      <c r="C36" t="str">
        <f>+VLOOKUP(E36,[2]id!A:C,3,0)</f>
        <v>Dependiente</v>
      </c>
      <c r="D36">
        <v>2014</v>
      </c>
      <c r="E36">
        <v>4</v>
      </c>
      <c r="F36">
        <v>950077.07146779168</v>
      </c>
      <c r="G36">
        <v>950077.07146779168</v>
      </c>
      <c r="H36">
        <v>0</v>
      </c>
      <c r="I36">
        <v>0</v>
      </c>
      <c r="J36">
        <v>819107.79918695334</v>
      </c>
      <c r="K36">
        <v>0</v>
      </c>
      <c r="L36">
        <v>0</v>
      </c>
      <c r="M36">
        <v>0</v>
      </c>
      <c r="N36">
        <v>950077.07146779168</v>
      </c>
      <c r="O36">
        <v>819107.79918695334</v>
      </c>
      <c r="P36" s="53">
        <v>1</v>
      </c>
      <c r="Q36" s="53">
        <v>0</v>
      </c>
      <c r="R36" s="53">
        <v>0.8621487916990761</v>
      </c>
      <c r="S36" s="53">
        <v>0.1378512083009239</v>
      </c>
      <c r="T36">
        <f t="shared" si="0"/>
        <v>130969.27228083834</v>
      </c>
      <c r="V36">
        <v>2022</v>
      </c>
      <c r="W36" s="53" cm="1">
        <f t="array" ref="W36">INDEX($S$26:$S$1024, MATCH($V36 &amp; " Empleador", $D$26:$D$1024 &amp; " " &amp; $B$26:$B$1024, 0))</f>
        <v>0.55632274119662783</v>
      </c>
      <c r="X36" s="53" cm="1">
        <f t="array" ref="X36">INDEX($S$26:$S$1024, MATCH($V36 &amp; " Cuenta propia", $D$26:$D$1024 &amp; " " &amp; $B$26:$B$1024, 0))</f>
        <v>0.89012343006643824</v>
      </c>
      <c r="Y36" s="53" cm="1">
        <f t="array" ref="Y36">INDEX($S$26:$S$1024, MATCH($V36 &amp; " Asalariado sector privado", $D$26:$D$1024 &amp; " " &amp; $B$26:$B$1024, 0))</f>
        <v>0.13093279366216889</v>
      </c>
      <c r="Z36" s="53" cm="1">
        <f t="array" ref="Z36">INDEX($S$26:$S$1024, MATCH($V36 &amp; " Asalariado sector público", $D$26:$D$1024 &amp; " " &amp; $B$26:$B$1024, 0))</f>
        <v>4.6146875448987101E-2</v>
      </c>
      <c r="AA36" s="53" cm="1">
        <f t="array" ref="AA36">INDEX($S$26:$S$1024, MATCH($V36 &amp; " Servicio doméstico puertas afuera", $D$26:$D$1024 &amp; " " &amp; $B$26:$B$1024, 0))</f>
        <v>0.55225010088921134</v>
      </c>
      <c r="AB36" s="53" cm="1">
        <f t="array" ref="AB36">INDEX($S$26:$S$1024, MATCH($V36 &amp; " Servicio doméstico puertas adentro", $D$26:$D$1024 &amp; " " &amp; $B$26:$B$1024, 0))</f>
        <v>0.13175846471567471</v>
      </c>
      <c r="AC36" s="53" cm="1">
        <f t="array" ref="AC36">INDEX($S$26:$S$1024, MATCH($V36 &amp; " Total", $D$26:$D$1024 &amp; " " &amp; $B$26:$B$1024, 0))</f>
        <v>0.30336714205214377</v>
      </c>
    </row>
    <row r="37" spans="2:31" x14ac:dyDescent="0.25">
      <c r="B37" t="str">
        <f>+VLOOKUP(E37,[2]id!A:B,2,0)</f>
        <v>Asalariado sector privado</v>
      </c>
      <c r="C37" t="str">
        <f>+VLOOKUP(E37,[2]id!A:C,3,0)</f>
        <v>Dependiente</v>
      </c>
      <c r="D37">
        <v>2014</v>
      </c>
      <c r="E37">
        <v>3</v>
      </c>
      <c r="F37">
        <v>4947908.053368832</v>
      </c>
      <c r="G37">
        <v>4947908.053368832</v>
      </c>
      <c r="H37">
        <v>0</v>
      </c>
      <c r="I37">
        <v>0</v>
      </c>
      <c r="J37">
        <v>4072334.5769346799</v>
      </c>
      <c r="K37">
        <v>0</v>
      </c>
      <c r="L37">
        <v>0</v>
      </c>
      <c r="M37">
        <v>0</v>
      </c>
      <c r="N37">
        <v>4947908.053368832</v>
      </c>
      <c r="O37">
        <v>4072334.5769346799</v>
      </c>
      <c r="P37" s="53">
        <v>1</v>
      </c>
      <c r="Q37" s="53">
        <v>0</v>
      </c>
      <c r="R37" s="53">
        <v>0.82304168408343625</v>
      </c>
      <c r="S37" s="53">
        <v>0.17695831591656369</v>
      </c>
      <c r="T37">
        <f t="shared" si="0"/>
        <v>875573.47643415211</v>
      </c>
    </row>
    <row r="38" spans="2:31" x14ac:dyDescent="0.25">
      <c r="B38" t="str">
        <f>+VLOOKUP(E38,[2]id!A:B,2,0)</f>
        <v>Servicio doméstico puertas afuera</v>
      </c>
      <c r="C38" t="str">
        <f>+VLOOKUP(E38,[2]id!A:C,3,0)</f>
        <v>Dependiente</v>
      </c>
      <c r="D38">
        <v>2014</v>
      </c>
      <c r="E38">
        <v>5</v>
      </c>
      <c r="F38">
        <v>266149.63222335587</v>
      </c>
      <c r="G38">
        <v>266149.63222335587</v>
      </c>
      <c r="H38">
        <v>0</v>
      </c>
      <c r="I38">
        <v>0</v>
      </c>
      <c r="J38">
        <v>103982.7580453408</v>
      </c>
      <c r="K38">
        <v>0</v>
      </c>
      <c r="L38">
        <v>0</v>
      </c>
      <c r="M38">
        <v>0</v>
      </c>
      <c r="N38">
        <v>266149.63222335587</v>
      </c>
      <c r="O38">
        <v>103982.7580453408</v>
      </c>
      <c r="P38" s="53">
        <v>1</v>
      </c>
      <c r="Q38" s="53">
        <v>0</v>
      </c>
      <c r="R38" s="53">
        <v>0.39069284889365258</v>
      </c>
      <c r="S38" s="53">
        <v>0.60930715110634748</v>
      </c>
      <c r="T38">
        <f t="shared" si="0"/>
        <v>162166.87417801507</v>
      </c>
      <c r="V38" s="8" t="s">
        <v>387</v>
      </c>
    </row>
    <row r="39" spans="2:31" x14ac:dyDescent="0.25">
      <c r="B39" t="str">
        <f>+VLOOKUP(E39,[2]id!A:B,2,0)</f>
        <v>Empleador</v>
      </c>
      <c r="C39" t="str">
        <f>+VLOOKUP(E39,[2]id!A:C,3,0)</f>
        <v>Independiente</v>
      </c>
      <c r="D39">
        <v>2014</v>
      </c>
      <c r="E39">
        <v>1</v>
      </c>
      <c r="F39">
        <v>332208.85235562542</v>
      </c>
      <c r="G39">
        <v>332208.85235562542</v>
      </c>
      <c r="H39">
        <v>0</v>
      </c>
      <c r="I39">
        <v>0</v>
      </c>
      <c r="J39">
        <v>0</v>
      </c>
      <c r="K39">
        <v>0</v>
      </c>
      <c r="L39">
        <v>136022.12406695669</v>
      </c>
      <c r="M39">
        <v>0</v>
      </c>
      <c r="N39">
        <v>332208.85235562542</v>
      </c>
      <c r="O39">
        <v>136022.12406695669</v>
      </c>
      <c r="P39" s="53">
        <v>1</v>
      </c>
      <c r="Q39" s="53">
        <v>0</v>
      </c>
      <c r="R39" s="53">
        <v>0.40944762038233312</v>
      </c>
      <c r="S39" s="53">
        <v>0.59055237961766682</v>
      </c>
      <c r="T39">
        <f t="shared" si="0"/>
        <v>196186.72828866873</v>
      </c>
      <c r="V39" s="181" t="s">
        <v>377</v>
      </c>
      <c r="W39" s="265" t="s">
        <v>386</v>
      </c>
      <c r="X39" s="265" t="s">
        <v>385</v>
      </c>
      <c r="Y39" s="265" t="s">
        <v>384</v>
      </c>
      <c r="Z39" s="265" t="s">
        <v>383</v>
      </c>
      <c r="AA39" s="265" t="s">
        <v>382</v>
      </c>
      <c r="AB39" s="265" t="s">
        <v>381</v>
      </c>
      <c r="AC39" s="265" t="s">
        <v>380</v>
      </c>
      <c r="AD39" s="265" t="s">
        <v>5</v>
      </c>
    </row>
    <row r="40" spans="2:31" x14ac:dyDescent="0.25">
      <c r="B40" t="str">
        <f>+VLOOKUP(E40,[2]id!A:B,2,0)</f>
        <v>Familiar no remunerado</v>
      </c>
      <c r="C40" t="str">
        <f>+VLOOKUP(E40,[2]id!A:C,3,0)</f>
        <v>Independiente</v>
      </c>
      <c r="D40">
        <v>2014</v>
      </c>
      <c r="E40">
        <v>7</v>
      </c>
      <c r="F40">
        <v>100843.05746757179</v>
      </c>
      <c r="G40">
        <v>100843.05746757179</v>
      </c>
      <c r="H40">
        <v>0</v>
      </c>
      <c r="I40">
        <v>0</v>
      </c>
      <c r="J40">
        <v>0</v>
      </c>
      <c r="K40">
        <v>0</v>
      </c>
      <c r="L40">
        <v>0</v>
      </c>
      <c r="M40">
        <v>0</v>
      </c>
      <c r="N40">
        <v>100843.05746757179</v>
      </c>
      <c r="O40">
        <v>0</v>
      </c>
      <c r="P40" s="53">
        <v>1</v>
      </c>
      <c r="Q40" s="53">
        <v>0</v>
      </c>
      <c r="R40" s="53">
        <v>0</v>
      </c>
      <c r="S40" s="53">
        <v>1</v>
      </c>
      <c r="T40">
        <f t="shared" si="0"/>
        <v>100843.05746757179</v>
      </c>
      <c r="V40">
        <v>2013</v>
      </c>
      <c r="W40" s="22" cm="1">
        <f t="array" ref="W40">INDEX($T$26:$T$1024, MATCH($V40 &amp; " Empleador", $D$26:$D$1024 &amp; " " &amp; $B$26:$B$1024, 0))</f>
        <v>219785.79000012041</v>
      </c>
      <c r="X40" s="22" cm="1">
        <f t="array" ref="X40">INDEX($T$26:$T$1024, MATCH($V40 &amp; " Cuenta propia", $D$26:$D$1024 &amp; " " &amp; $B$26:$B$1024, 0))</f>
        <v>1371246.9529965997</v>
      </c>
      <c r="Y40" s="22" cm="1">
        <f t="array" ref="Y40">INDEX($T$26:$T$1024, MATCH($V40 &amp; " Asalariado sector privado", $D$26:$D$1024 &amp; " " &amp; $B$26:$B$1024, 0))</f>
        <v>859685.35657306481</v>
      </c>
      <c r="Z40" s="22" cm="1">
        <f t="array" ref="Z40">INDEX($T$26:$T$1024, MATCH($V40 &amp; " Asalariado sector público", $D$26:$D$1024 &amp; " " &amp; $B$26:$B$1024, 0))</f>
        <v>89084.150623871363</v>
      </c>
      <c r="AA40" s="22" cm="1">
        <f t="array" ref="AA40">INDEX($T$26:$T$1024, MATCH($V40 &amp; " Servicio doméstico puertas afuera", $D$26:$D$1024 &amp; " " &amp; $B$26:$B$1024, 0))</f>
        <v>151220.70813349931</v>
      </c>
      <c r="AB40" s="22" cm="1">
        <f t="array" ref="AB40">INDEX($T$26:$T$1024, MATCH($V40 &amp; " Servicio doméstico puertas adentro", $D$26:$D$1024 &amp; " " &amp; $B$26:$B$1024, 0))</f>
        <v>7381.3787338124603</v>
      </c>
      <c r="AC40" s="22" cm="1">
        <f t="array" ref="AC40">INDEX($T$26:$T$1024, MATCH($V40 &amp; " Familiar no remunerado", $D$26:$D$1024 &amp; " " &amp; $B$26:$B$1024, 0))</f>
        <v>103638.74808526591</v>
      </c>
      <c r="AD40" s="22" cm="1">
        <f t="array" ref="AD40">INDEX($T$26:$T$1024, MATCH($V40 &amp; " Total", $D$26:$D$1024 &amp; " " &amp; $B$26:$B$1024, 0))</f>
        <v>2802043.0851462344</v>
      </c>
      <c r="AE40" s="22"/>
    </row>
    <row r="41" spans="2:31" x14ac:dyDescent="0.25">
      <c r="B41" t="str">
        <f>+VLOOKUP(E41,[2]id!A:B,2,0)</f>
        <v>Servicio doméstico puertas adentro</v>
      </c>
      <c r="C41" t="str">
        <f>+VLOOKUP(E41,[2]id!A:C,3,0)</f>
        <v>Dependiente</v>
      </c>
      <c r="D41">
        <v>2014</v>
      </c>
      <c r="E41">
        <v>6</v>
      </c>
      <c r="F41">
        <v>49166.150814481698</v>
      </c>
      <c r="G41">
        <v>49166.150814481698</v>
      </c>
      <c r="H41">
        <v>0</v>
      </c>
      <c r="I41">
        <v>0</v>
      </c>
      <c r="J41">
        <v>41353.601300483067</v>
      </c>
      <c r="K41">
        <v>0</v>
      </c>
      <c r="L41">
        <v>0</v>
      </c>
      <c r="M41">
        <v>0</v>
      </c>
      <c r="N41">
        <v>49166.150814481698</v>
      </c>
      <c r="O41">
        <v>41353.601300483067</v>
      </c>
      <c r="P41" s="53">
        <v>1</v>
      </c>
      <c r="Q41" s="53">
        <v>0</v>
      </c>
      <c r="R41" s="53">
        <v>0.84109902067628473</v>
      </c>
      <c r="S41" s="53">
        <v>0.1589009793237153</v>
      </c>
      <c r="T41">
        <f t="shared" si="0"/>
        <v>7812.5495139986306</v>
      </c>
      <c r="V41">
        <v>2014</v>
      </c>
      <c r="W41" s="22" cm="1">
        <f t="array" ref="W41">INDEX($T$26:$T$1024, MATCH($V41 &amp; " Empleador", $D$26:$D$1024 &amp; " " &amp; $B$26:$B$1024, 0))</f>
        <v>196186.72828866873</v>
      </c>
      <c r="X41" s="22" cm="1">
        <f t="array" ref="X41">INDEX($T$26:$T$1024, MATCH($V41 &amp; " Cuenta propia", $D$26:$D$1024 &amp; " " &amp; $B$26:$B$1024, 0))</f>
        <v>1451203.8913990322</v>
      </c>
      <c r="Y41" s="22" cm="1">
        <f t="array" ref="Y41">INDEX($T$26:$T$1024, MATCH($V41 &amp; " Asalariado sector privado", $D$26:$D$1024 &amp; " " &amp; $B$26:$B$1024, 0))</f>
        <v>875573.47643415211</v>
      </c>
      <c r="Z41" s="22" cm="1">
        <f t="array" ref="Z41">INDEX($T$26:$T$1024, MATCH($V41 &amp; " Asalariado sector público", $D$26:$D$1024 &amp; " " &amp; $B$26:$B$1024, 0))</f>
        <v>130969.27228083834</v>
      </c>
      <c r="AA41" s="22" cm="1">
        <f t="array" ref="AA41">INDEX($T$26:$T$1024, MATCH($V41 &amp; " Servicio doméstico puertas afuera", $D$26:$D$1024 &amp; " " &amp; $B$26:$B$1024, 0))</f>
        <v>162166.87417801507</v>
      </c>
      <c r="AB41" s="22" cm="1">
        <f t="array" ref="AB41">INDEX($T$26:$T$1024, MATCH($V41 &amp; " Servicio doméstico puertas adentro", $D$26:$D$1024 &amp; " " &amp; $B$26:$B$1024, 0))</f>
        <v>7812.5495139986306</v>
      </c>
      <c r="AC41" s="22" cm="1">
        <f t="array" ref="AC41">INDEX($T$26:$T$1024, MATCH($V41 &amp; " Familiar no remunerado", $D$26:$D$1024 &amp; " " &amp; $B$26:$B$1024, 0))</f>
        <v>100843.05746757179</v>
      </c>
      <c r="AD41" s="22" cm="1">
        <f t="array" ref="AD41">INDEX($T$26:$T$1024, MATCH($V41 &amp; " Total", $D$26:$D$1024 &amp; " " &amp; $B$26:$B$1024, 0))</f>
        <v>2924755.8495622771</v>
      </c>
      <c r="AE41" s="22"/>
    </row>
    <row r="42" spans="2:31" x14ac:dyDescent="0.25">
      <c r="B42" t="str">
        <f>+VLOOKUP(E42,[2]id!A:B,2,0)</f>
        <v>Cuenta propia</v>
      </c>
      <c r="C42" t="str">
        <f>+VLOOKUP(E42,[2]id!A:C,3,0)</f>
        <v>Independiente</v>
      </c>
      <c r="D42">
        <v>2015</v>
      </c>
      <c r="E42">
        <v>2</v>
      </c>
      <c r="F42">
        <v>1645598.3902742369</v>
      </c>
      <c r="G42">
        <v>1645598.3902742369</v>
      </c>
      <c r="H42">
        <v>0</v>
      </c>
      <c r="I42">
        <v>0</v>
      </c>
      <c r="J42">
        <v>0</v>
      </c>
      <c r="K42">
        <v>0</v>
      </c>
      <c r="L42">
        <v>182378.7183218548</v>
      </c>
      <c r="M42">
        <v>0</v>
      </c>
      <c r="N42">
        <v>1645598.3902742369</v>
      </c>
      <c r="O42">
        <v>182378.7183218548</v>
      </c>
      <c r="P42" s="53">
        <v>1</v>
      </c>
      <c r="Q42" s="53">
        <v>0</v>
      </c>
      <c r="R42" s="53">
        <v>0.1108282065659177</v>
      </c>
      <c r="S42" s="53">
        <v>0.88917179343408226</v>
      </c>
      <c r="T42">
        <f t="shared" si="0"/>
        <v>1463219.6719523822</v>
      </c>
      <c r="V42">
        <v>2015</v>
      </c>
      <c r="W42" s="22" cm="1">
        <f t="array" ref="W42">INDEX($T$26:$T$1024, MATCH($V42 &amp; " Empleador", $D$26:$D$1024 &amp; " " &amp; $B$26:$B$1024, 0))</f>
        <v>204697.14854848848</v>
      </c>
      <c r="X42" s="22" cm="1">
        <f t="array" ref="X42">INDEX($T$26:$T$1024, MATCH($V42 &amp; " Cuenta propia", $D$26:$D$1024 &amp; " " &amp; $B$26:$B$1024, 0))</f>
        <v>1463219.6719523822</v>
      </c>
      <c r="Y42" s="22" cm="1">
        <f t="array" ref="Y42">INDEX($T$26:$T$1024, MATCH($V42 &amp; " Asalariado sector privado", $D$26:$D$1024 &amp; " " &amp; $B$26:$B$1024, 0))</f>
        <v>898379.3605393935</v>
      </c>
      <c r="Z42" s="22" cm="1">
        <f t="array" ref="Z42">INDEX($T$26:$T$1024, MATCH($V42 &amp; " Asalariado sector público", $D$26:$D$1024 &amp; " " &amp; $B$26:$B$1024, 0))</f>
        <v>138224.03484196216</v>
      </c>
      <c r="AA42" s="22" cm="1">
        <f t="array" ref="AA42">INDEX($T$26:$T$1024, MATCH($V42 &amp; " Servicio doméstico puertas afuera", $D$26:$D$1024 &amp; " " &amp; $B$26:$B$1024, 0))</f>
        <v>156163.95007893781</v>
      </c>
      <c r="AB42" s="22" cm="1">
        <f t="array" ref="AB42">INDEX($T$26:$T$1024, MATCH($V42 &amp; " Servicio doméstico puertas adentro", $D$26:$D$1024 &amp; " " &amp; $B$26:$B$1024, 0))</f>
        <v>5890.7026102393866</v>
      </c>
      <c r="AC42" s="22" cm="1">
        <f t="array" ref="AC42">INDEX($T$26:$T$1024, MATCH($V42 &amp; " Familiar no remunerado", $D$26:$D$1024 &amp; " " &amp; $B$26:$B$1024, 0))</f>
        <v>99520.841706716412</v>
      </c>
      <c r="AD42" s="22" cm="1">
        <f t="array" ref="AD42">INDEX($T$26:$T$1024, MATCH($V42 &amp; " Total", $D$26:$D$1024 &amp; " " &amp; $B$26:$B$1024, 0))</f>
        <v>2966095.7102781199</v>
      </c>
      <c r="AE42" s="22"/>
    </row>
    <row r="43" spans="2:31" x14ac:dyDescent="0.25">
      <c r="B43" t="str">
        <f>+VLOOKUP(E43,[2]id!A:B,2,0)</f>
        <v>No aplica</v>
      </c>
      <c r="C43" t="str">
        <f>+VLOOKUP(E43,[2]id!A:C,3,0)</f>
        <v>No aplica</v>
      </c>
      <c r="D43">
        <v>2015</v>
      </c>
      <c r="E43">
        <v>0</v>
      </c>
      <c r="F43">
        <v>5911536.8081885008</v>
      </c>
      <c r="G43">
        <v>511712.49204606027</v>
      </c>
      <c r="H43">
        <v>511712.49204606027</v>
      </c>
      <c r="I43">
        <v>0</v>
      </c>
      <c r="J43">
        <v>0</v>
      </c>
      <c r="K43">
        <v>0</v>
      </c>
      <c r="L43">
        <v>0</v>
      </c>
      <c r="M43">
        <v>0</v>
      </c>
      <c r="N43">
        <v>0</v>
      </c>
      <c r="O43">
        <v>0</v>
      </c>
      <c r="P43" s="53">
        <v>0</v>
      </c>
      <c r="Q43" s="53"/>
      <c r="R43" s="53"/>
      <c r="T43">
        <f t="shared" si="0"/>
        <v>0</v>
      </c>
      <c r="V43">
        <v>2016</v>
      </c>
      <c r="W43" s="22" cm="1">
        <f t="array" ref="W43">INDEX($T$26:$T$1024, MATCH($V43 &amp; " Empleador", $D$26:$D$1024 &amp; " " &amp; $B$26:$B$1024, 0))</f>
        <v>210411.37626526997</v>
      </c>
      <c r="X43" s="22" cm="1">
        <f t="array" ref="X43">INDEX($T$26:$T$1024, MATCH($V43 &amp; " Cuenta propia", $D$26:$D$1024 &amp; " " &amp; $B$26:$B$1024, 0))</f>
        <v>1540275.1263703988</v>
      </c>
      <c r="Y43" s="22" cm="1">
        <f t="array" ref="Y43">INDEX($T$26:$T$1024, MATCH($V43 &amp; " Asalariado sector privado", $D$26:$D$1024 &amp; " " &amp; $B$26:$B$1024, 0))</f>
        <v>912077.287255398</v>
      </c>
      <c r="Z43" s="22" cm="1">
        <f t="array" ref="Z43">INDEX($T$26:$T$1024, MATCH($V43 &amp; " Asalariado sector público", $D$26:$D$1024 &amp; " " &amp; $B$26:$B$1024, 0))</f>
        <v>144041.24451858562</v>
      </c>
      <c r="AA43" s="22" cm="1">
        <f t="array" ref="AA43">INDEX($T$26:$T$1024, MATCH($V43 &amp; " Servicio doméstico puertas afuera", $D$26:$D$1024 &amp; " " &amp; $B$26:$B$1024, 0))</f>
        <v>140225.56282790407</v>
      </c>
      <c r="AB43" s="22" cm="1">
        <f t="array" ref="AB43">INDEX($T$26:$T$1024, MATCH($V43 &amp; " Servicio doméstico puertas adentro", $D$26:$D$1024 &amp; " " &amp; $B$26:$B$1024, 0))</f>
        <v>5490.568934967916</v>
      </c>
      <c r="AC43" s="22" cm="1">
        <f t="array" ref="AC43">INDEX($T$26:$T$1024, MATCH($V43 &amp; " Familiar no remunerado", $D$26:$D$1024 &amp; " " &amp; $B$26:$B$1024, 0))</f>
        <v>108812.1717438117</v>
      </c>
      <c r="AD43" s="22" cm="1">
        <f t="array" ref="AD43">INDEX($T$26:$T$1024, MATCH($V43 &amp; " Total", $D$26:$D$1024 &amp; " " &amp; $B$26:$B$1024, 0))</f>
        <v>3061333.3379163351</v>
      </c>
      <c r="AE43" s="22"/>
    </row>
    <row r="44" spans="2:31" x14ac:dyDescent="0.25">
      <c r="B44" t="str">
        <f>+VLOOKUP(E44,[2]id!A:B,2,0)</f>
        <v>Asalariado sector privado</v>
      </c>
      <c r="C44" t="str">
        <f>+VLOOKUP(E44,[2]id!A:C,3,0)</f>
        <v>Dependiente</v>
      </c>
      <c r="D44">
        <v>2015</v>
      </c>
      <c r="E44">
        <v>3</v>
      </c>
      <c r="F44">
        <v>5089338.8759044213</v>
      </c>
      <c r="G44">
        <v>5089338.8759044213</v>
      </c>
      <c r="H44">
        <v>0</v>
      </c>
      <c r="I44">
        <v>0</v>
      </c>
      <c r="J44">
        <v>4190959.5153650278</v>
      </c>
      <c r="K44">
        <v>0</v>
      </c>
      <c r="L44">
        <v>0</v>
      </c>
      <c r="M44">
        <v>0</v>
      </c>
      <c r="N44">
        <v>5089338.8759044213</v>
      </c>
      <c r="O44">
        <v>4190959.5153650278</v>
      </c>
      <c r="P44" s="53">
        <v>1</v>
      </c>
      <c r="Q44" s="53">
        <v>0</v>
      </c>
      <c r="R44" s="53">
        <v>0.82347818008488516</v>
      </c>
      <c r="S44" s="53">
        <v>0.17652181991511481</v>
      </c>
      <c r="T44">
        <f t="shared" si="0"/>
        <v>898379.3605393935</v>
      </c>
      <c r="V44">
        <v>2017</v>
      </c>
      <c r="W44" s="22" cm="1">
        <f t="array" ref="W44">INDEX($T$26:$T$1024, MATCH($V44 &amp; " Empleador", $D$26:$D$1024 &amp; " " &amp; $B$26:$B$1024, 0))</f>
        <v>219710.15587765002</v>
      </c>
      <c r="X44" s="22" cm="1">
        <f t="array" ref="X44">INDEX($T$26:$T$1024, MATCH($V44 &amp; " Cuenta propia", $D$26:$D$1024 &amp; " " &amp; $B$26:$B$1024, 0))</f>
        <v>1612199.4180522361</v>
      </c>
      <c r="Y44" s="22" cm="1">
        <f t="array" ref="Y44">INDEX($T$26:$T$1024, MATCH($V44 &amp; " Asalariado sector privado", $D$26:$D$1024 &amp; " " &amp; $B$26:$B$1024, 0))</f>
        <v>976354.90857743332</v>
      </c>
      <c r="Z44" s="22" cm="1">
        <f t="array" ref="Z44">INDEX($T$26:$T$1024, MATCH($V44 &amp; " Asalariado sector público", $D$26:$D$1024 &amp; " " &amp; $B$26:$B$1024, 0))</f>
        <v>152509.61360217002</v>
      </c>
      <c r="AA44" s="22" cm="1">
        <f t="array" ref="AA44">INDEX($T$26:$T$1024, MATCH($V44 &amp; " Servicio doméstico puertas afuera", $D$26:$D$1024 &amp; " " &amp; $B$26:$B$1024, 0))</f>
        <v>128208.93499200849</v>
      </c>
      <c r="AB44" s="22" cm="1">
        <f t="array" ref="AB44">INDEX($T$26:$T$1024, MATCH($V44 &amp; " Servicio doméstico puertas adentro", $D$26:$D$1024 &amp; " " &amp; $B$26:$B$1024, 0))</f>
        <v>11580.311912643214</v>
      </c>
      <c r="AC44" s="22" cm="1">
        <f t="array" ref="AC44">INDEX($T$26:$T$1024, MATCH($V44 &amp; " Familiar no remunerado", $D$26:$D$1024 &amp; " " &amp; $B$26:$B$1024, 0))</f>
        <v>99026.504217542562</v>
      </c>
      <c r="AD44" s="22" cm="1">
        <f t="array" ref="AD44">INDEX($T$26:$T$1024, MATCH($V44 &amp; " Total", $D$26:$D$1024 &amp; " " &amp; $B$26:$B$1024, 0))</f>
        <v>3199589.8472316852</v>
      </c>
      <c r="AE44" s="22"/>
    </row>
    <row r="45" spans="2:31" x14ac:dyDescent="0.25">
      <c r="B45" t="str">
        <f>+VLOOKUP(E45,[2]id!A:B,2,0)</f>
        <v>Familiar no remunerado</v>
      </c>
      <c r="C45" t="str">
        <f>+VLOOKUP(E45,[2]id!A:C,3,0)</f>
        <v>Independiente</v>
      </c>
      <c r="D45">
        <v>2015</v>
      </c>
      <c r="E45">
        <v>7</v>
      </c>
      <c r="F45">
        <v>99520.841706716412</v>
      </c>
      <c r="G45">
        <v>99520.841706716412</v>
      </c>
      <c r="H45">
        <v>0</v>
      </c>
      <c r="I45">
        <v>0</v>
      </c>
      <c r="J45">
        <v>0</v>
      </c>
      <c r="K45">
        <v>0</v>
      </c>
      <c r="L45">
        <v>0</v>
      </c>
      <c r="M45">
        <v>0</v>
      </c>
      <c r="N45">
        <v>99520.841706716412</v>
      </c>
      <c r="O45">
        <v>0</v>
      </c>
      <c r="P45" s="53">
        <v>1</v>
      </c>
      <c r="Q45" s="53">
        <v>0</v>
      </c>
      <c r="R45" s="53">
        <v>0</v>
      </c>
      <c r="S45" s="53">
        <v>1</v>
      </c>
      <c r="T45">
        <f t="shared" si="0"/>
        <v>99520.841706716412</v>
      </c>
      <c r="V45">
        <v>2018</v>
      </c>
      <c r="W45" s="22" cm="1">
        <f t="array" ref="W45">INDEX($T$26:$T$1024, MATCH($V45 &amp; " Empleador", $D$26:$D$1024 &amp; " " &amp; $B$26:$B$1024, 0))</f>
        <v>241718.68664344793</v>
      </c>
      <c r="X45" s="22" cm="1">
        <f t="array" ref="X45">INDEX($T$26:$T$1024, MATCH($V45 &amp; " Cuenta propia", $D$26:$D$1024 &amp; " " &amp; $B$26:$B$1024, 0))</f>
        <v>1603342.0900423727</v>
      </c>
      <c r="Y45" s="22" cm="1">
        <f t="array" ref="Y45">INDEX($T$26:$T$1024, MATCH($V45 &amp; " Asalariado sector privado", $D$26:$D$1024 &amp; " " &amp; $B$26:$B$1024, 0))</f>
        <v>933786.96622499824</v>
      </c>
      <c r="Z45" s="22" cm="1">
        <f t="array" ref="Z45">INDEX($T$26:$T$1024, MATCH($V45 &amp; " Asalariado sector público", $D$26:$D$1024 &amp; " " &amp; $B$26:$B$1024, 0))</f>
        <v>132982.36037573463</v>
      </c>
      <c r="AA45" s="22" cm="1">
        <f t="array" ref="AA45">INDEX($T$26:$T$1024, MATCH($V45 &amp; " Servicio doméstico puertas afuera", $D$26:$D$1024 &amp; " " &amp; $B$26:$B$1024, 0))</f>
        <v>147516.87497149222</v>
      </c>
      <c r="AB45" s="22" cm="1">
        <f t="array" ref="AB45">INDEX($T$26:$T$1024, MATCH($V45 &amp; " Servicio doméstico puertas adentro", $D$26:$D$1024 &amp; " " &amp; $B$26:$B$1024, 0))</f>
        <v>9500.4014906460579</v>
      </c>
      <c r="AC45" s="22" cm="1">
        <f t="array" ref="AC45">INDEX($T$26:$T$1024, MATCH($V45 &amp; " Familiar no remunerado", $D$26:$D$1024 &amp; " " &amp; $B$26:$B$1024, 0))</f>
        <v>107004.7049975168</v>
      </c>
      <c r="AD45" s="22" cm="1">
        <f t="array" ref="AD45">INDEX($T$26:$T$1024, MATCH($V45 &amp; " Total", $D$26:$D$1024 &amp; " " &amp; $B$26:$B$1024, 0))</f>
        <v>3175852.084746208</v>
      </c>
      <c r="AE45" s="22"/>
    </row>
    <row r="46" spans="2:31" x14ac:dyDescent="0.25">
      <c r="B46" t="str">
        <f>+VLOOKUP(E46,[2]id!A:B,2,0)</f>
        <v>Servicio doméstico puertas afuera</v>
      </c>
      <c r="C46" t="str">
        <f>+VLOOKUP(E46,[2]id!A:C,3,0)</f>
        <v>Dependiente</v>
      </c>
      <c r="D46">
        <v>2015</v>
      </c>
      <c r="E46">
        <v>5</v>
      </c>
      <c r="F46">
        <v>291219.471293587</v>
      </c>
      <c r="G46">
        <v>291219.471293587</v>
      </c>
      <c r="H46">
        <v>0</v>
      </c>
      <c r="I46">
        <v>0</v>
      </c>
      <c r="J46">
        <v>135055.5212146492</v>
      </c>
      <c r="K46">
        <v>0</v>
      </c>
      <c r="L46">
        <v>0</v>
      </c>
      <c r="M46">
        <v>0</v>
      </c>
      <c r="N46">
        <v>291219.471293587</v>
      </c>
      <c r="O46">
        <v>135055.5212146492</v>
      </c>
      <c r="P46" s="53">
        <v>1</v>
      </c>
      <c r="Q46" s="53">
        <v>0</v>
      </c>
      <c r="R46" s="53">
        <v>0.46375855506754821</v>
      </c>
      <c r="S46" s="53">
        <v>0.53624144493245185</v>
      </c>
      <c r="T46">
        <f t="shared" si="0"/>
        <v>156163.95007893781</v>
      </c>
      <c r="V46">
        <v>2019</v>
      </c>
      <c r="W46" s="22" cm="1">
        <f t="array" ref="W46">INDEX($T$26:$T$1024, MATCH($V46 &amp; " Empleador", $D$26:$D$1024 &amp; " " &amp; $B$26:$B$1024, 0))</f>
        <v>255987.62535053756</v>
      </c>
      <c r="X46" s="22" cm="1">
        <f t="array" ref="X46">INDEX($T$26:$T$1024, MATCH($V46 &amp; " Cuenta propia", $D$26:$D$1024 &amp; " " &amp; $B$26:$B$1024, 0))</f>
        <v>1645023.7259181554</v>
      </c>
      <c r="Y46" s="22" cm="1">
        <f t="array" ref="Y46">INDEX($T$26:$T$1024, MATCH($V46 &amp; " Asalariado sector privado", $D$26:$D$1024 &amp; " " &amp; $B$26:$B$1024, 0))</f>
        <v>856745.0518960664</v>
      </c>
      <c r="Z46" s="22" cm="1">
        <f t="array" ref="Z46">INDEX($T$26:$T$1024, MATCH($V46 &amp; " Asalariado sector público", $D$26:$D$1024 &amp; " " &amp; $B$26:$B$1024, 0))</f>
        <v>54109.118390466087</v>
      </c>
      <c r="AA46" s="22" cm="1">
        <f t="array" ref="AA46">INDEX($T$26:$T$1024, MATCH($V46 &amp; " Servicio doméstico puertas afuera", $D$26:$D$1024 &amp; " " &amp; $B$26:$B$1024, 0))</f>
        <v>139214.41930795158</v>
      </c>
      <c r="AB46" s="22" cm="1">
        <f t="array" ref="AB46">INDEX($T$26:$T$1024, MATCH($V46 &amp; " Servicio doméstico puertas adentro", $D$26:$D$1024 &amp; " " &amp; $B$26:$B$1024, 0))</f>
        <v>5697.7546140464183</v>
      </c>
      <c r="AC46" s="22" cm="1">
        <f t="array" ref="AC46">INDEX($T$26:$T$1024, MATCH($V46 &amp; " Familiar no remunerado", $D$26:$D$1024 &amp; " " &amp; $B$26:$B$1024, 0))</f>
        <v>80175.813291301834</v>
      </c>
      <c r="AD46" s="22" cm="1">
        <f t="array" ref="AD46">INDEX($T$26:$T$1024, MATCH($V46 &amp; " Total", $D$26:$D$1024 &amp; " " &amp; $B$26:$B$1024, 0))</f>
        <v>3036953.508768524</v>
      </c>
      <c r="AE46" s="22"/>
    </row>
    <row r="47" spans="2:31" x14ac:dyDescent="0.25">
      <c r="B47" t="str">
        <f>+VLOOKUP(E47,[2]id!A:B,2,0)</f>
        <v>Asalariado sector público</v>
      </c>
      <c r="C47" t="str">
        <f>+VLOOKUP(E47,[2]id!A:C,3,0)</f>
        <v>Dependiente</v>
      </c>
      <c r="D47">
        <v>2015</v>
      </c>
      <c r="E47">
        <v>4</v>
      </c>
      <c r="F47">
        <v>937132.62844505697</v>
      </c>
      <c r="G47">
        <v>937132.62844505697</v>
      </c>
      <c r="H47">
        <v>0</v>
      </c>
      <c r="I47">
        <v>0</v>
      </c>
      <c r="J47">
        <v>798908.59360309481</v>
      </c>
      <c r="K47">
        <v>0</v>
      </c>
      <c r="L47">
        <v>0</v>
      </c>
      <c r="M47">
        <v>0</v>
      </c>
      <c r="N47">
        <v>937132.62844505697</v>
      </c>
      <c r="O47">
        <v>798908.59360309481</v>
      </c>
      <c r="P47" s="53">
        <v>1</v>
      </c>
      <c r="Q47" s="53">
        <v>0</v>
      </c>
      <c r="R47" s="53">
        <v>0.85250323097669622</v>
      </c>
      <c r="S47" s="53">
        <v>0.1474967690233038</v>
      </c>
      <c r="T47">
        <f t="shared" si="0"/>
        <v>138224.03484196216</v>
      </c>
      <c r="V47">
        <v>2020</v>
      </c>
      <c r="W47" s="22" cm="1">
        <f t="array" ref="W47">INDEX($T$26:$T$1024, MATCH($V47 &amp; " Empleador", $D$26:$D$1024 &amp; " " &amp; $B$26:$B$1024, 0))</f>
        <v>144807.16259608947</v>
      </c>
      <c r="X47" s="22" cm="1">
        <f t="array" ref="X47">INDEX($T$26:$T$1024, MATCH($V47 &amp; " Cuenta propia", $D$26:$D$1024 &amp; " " &amp; $B$26:$B$1024, 0))</f>
        <v>1424476.7696109693</v>
      </c>
      <c r="Y47" s="22" cm="1">
        <f t="array" ref="Y47">INDEX($T$26:$T$1024, MATCH($V47 &amp; " Asalariado sector privado", $D$26:$D$1024 &amp; " " &amp; $B$26:$B$1024, 0))</f>
        <v>670466.06573459692</v>
      </c>
      <c r="Z47" s="22" cm="1">
        <f t="array" ref="Z47">INDEX($T$26:$T$1024, MATCH($V47 &amp; " Asalariado sector público", $D$26:$D$1024 &amp; " " &amp; $B$26:$B$1024, 0))</f>
        <v>61727.330641441047</v>
      </c>
      <c r="AA47" s="22" cm="1">
        <f t="array" ref="AA47">INDEX($T$26:$T$1024, MATCH($V47 &amp; " Servicio doméstico puertas afuera", $D$26:$D$1024 &amp; " " &amp; $B$26:$B$1024, 0))</f>
        <v>66794.754996509786</v>
      </c>
      <c r="AB47" s="22" cm="1">
        <f t="array" ref="AB47">INDEX($T$26:$T$1024, MATCH($V47 &amp; " Servicio doméstico puertas adentro", $D$26:$D$1024 &amp; " " &amp; $B$26:$B$1024, 0))</f>
        <v>7229.6947453021494</v>
      </c>
      <c r="AC47" s="22" cm="1">
        <f t="array" ref="AC47">INDEX($T$26:$T$1024, MATCH($V47 &amp; " Familiar no remunerado", $D$26:$D$1024 &amp; " " &amp; $B$26:$B$1024, 0))</f>
        <v>76690.698446617738</v>
      </c>
      <c r="AD47" s="22" cm="1">
        <f t="array" ref="AD47">INDEX($T$26:$T$1024, MATCH($V47 &amp; " Total", $D$26:$D$1024 &amp; " " &amp; $B$26:$B$1024, 0))</f>
        <v>2452192.476771526</v>
      </c>
      <c r="AE47" s="22"/>
    </row>
    <row r="48" spans="2:31" x14ac:dyDescent="0.25">
      <c r="B48" t="str">
        <f>+VLOOKUP(E48,[2]id!A:B,2,0)</f>
        <v>Empleador</v>
      </c>
      <c r="C48" t="str">
        <f>+VLOOKUP(E48,[2]id!A:C,3,0)</f>
        <v>Independiente</v>
      </c>
      <c r="D48">
        <v>2015</v>
      </c>
      <c r="E48">
        <v>1</v>
      </c>
      <c r="F48">
        <v>334811.65023507498</v>
      </c>
      <c r="G48">
        <v>334811.65023507498</v>
      </c>
      <c r="H48">
        <v>0</v>
      </c>
      <c r="I48">
        <v>0</v>
      </c>
      <c r="J48">
        <v>0</v>
      </c>
      <c r="K48">
        <v>0</v>
      </c>
      <c r="L48">
        <v>130114.5016865865</v>
      </c>
      <c r="M48">
        <v>0</v>
      </c>
      <c r="N48">
        <v>334811.65023507498</v>
      </c>
      <c r="O48">
        <v>130114.5016865865</v>
      </c>
      <c r="P48" s="53">
        <v>1</v>
      </c>
      <c r="Q48" s="53">
        <v>0</v>
      </c>
      <c r="R48" s="53">
        <v>0.38861999454090579</v>
      </c>
      <c r="S48" s="53">
        <v>0.6113800054590941</v>
      </c>
      <c r="T48">
        <f t="shared" si="0"/>
        <v>204697.14854848848</v>
      </c>
      <c r="V48">
        <v>2021</v>
      </c>
      <c r="W48" s="22" cm="1">
        <f t="array" ref="W48">INDEX($T$26:$T$1024, MATCH($V48 &amp; " Empleador", $D$26:$D$1024 &amp; " " &amp; $B$26:$B$1024, 0))</f>
        <v>159735.91929032019</v>
      </c>
      <c r="X48" s="22" cm="1">
        <f t="array" ref="X48">INDEX($T$26:$T$1024, MATCH($V48 &amp; " Cuenta propia", $D$26:$D$1024 &amp; " " &amp; $B$26:$B$1024, 0))</f>
        <v>1675002.6511825898</v>
      </c>
      <c r="Y48" s="22" cm="1">
        <f t="array" ref="Y48">INDEX($T$26:$T$1024, MATCH($V48 &amp; " Asalariado sector privado", $D$26:$D$1024 &amp; " " &amp; $B$26:$B$1024, 0))</f>
        <v>643412.684348437</v>
      </c>
      <c r="Z48" s="22" cm="1">
        <f t="array" ref="Z48">INDEX($T$26:$T$1024, MATCH($V48 &amp; " Asalariado sector público", $D$26:$D$1024 &amp; " " &amp; $B$26:$B$1024, 0))</f>
        <v>56271.385404061992</v>
      </c>
      <c r="AA48" s="22" cm="1">
        <f t="array" ref="AA48">INDEX($T$26:$T$1024, MATCH($V48 &amp; " Servicio doméstico puertas afuera", $D$26:$D$1024 &amp; " " &amp; $B$26:$B$1024, 0))</f>
        <v>102934.62202440359</v>
      </c>
      <c r="AB48" s="22" cm="1">
        <f t="array" ref="AB48">INDEX($T$26:$T$1024, MATCH($V48 &amp; " Servicio doméstico puertas adentro", $D$26:$D$1024 &amp; " " &amp; $B$26:$B$1024, 0))</f>
        <v>5395.0794122729712</v>
      </c>
      <c r="AC48" s="22" cm="1">
        <f t="array" ref="AC48">INDEX($T$26:$T$1024, MATCH($V48 &amp; " Familiar no remunerado", $D$26:$D$1024 &amp; " " &amp; $B$26:$B$1024, 0))</f>
        <v>79697.121414974361</v>
      </c>
      <c r="AD48" s="22" cm="1">
        <f t="array" ref="AD48">INDEX($T$26:$T$1024, MATCH($V48 &amp; " Total", $D$26:$D$1024 &amp; " " &amp; $B$26:$B$1024, 0))</f>
        <v>2722449.4630770618</v>
      </c>
      <c r="AE48" s="22"/>
    </row>
    <row r="49" spans="2:31" x14ac:dyDescent="0.25">
      <c r="B49" t="str">
        <f>+VLOOKUP(E49,[2]id!A:B,2,0)</f>
        <v>Servicio doméstico puertas adentro</v>
      </c>
      <c r="C49" t="str">
        <f>+VLOOKUP(E49,[2]id!A:C,3,0)</f>
        <v>Dependiente</v>
      </c>
      <c r="D49">
        <v>2015</v>
      </c>
      <c r="E49">
        <v>6</v>
      </c>
      <c r="F49">
        <v>40933.336245402599</v>
      </c>
      <c r="G49">
        <v>40933.336245402599</v>
      </c>
      <c r="H49">
        <v>0</v>
      </c>
      <c r="I49">
        <v>0</v>
      </c>
      <c r="J49">
        <v>35042.633635163213</v>
      </c>
      <c r="K49">
        <v>0</v>
      </c>
      <c r="L49">
        <v>0</v>
      </c>
      <c r="M49">
        <v>0</v>
      </c>
      <c r="N49">
        <v>40933.336245402599</v>
      </c>
      <c r="O49">
        <v>35042.633635163213</v>
      </c>
      <c r="P49" s="53">
        <v>1</v>
      </c>
      <c r="Q49" s="53">
        <v>0</v>
      </c>
      <c r="R49" s="53">
        <v>0.85609033734940199</v>
      </c>
      <c r="S49" s="53">
        <v>0.14390966265059801</v>
      </c>
      <c r="T49">
        <f t="shared" si="0"/>
        <v>5890.7026102393866</v>
      </c>
      <c r="V49">
        <v>2022</v>
      </c>
      <c r="W49" s="22" cm="1">
        <f t="array" ref="W49">INDEX($T$26:$T$1024, MATCH($V49 &amp; " Empleador", $D$26:$D$1024 &amp; " " &amp; $B$26:$B$1024, 0))</f>
        <v>160069.38638002682</v>
      </c>
      <c r="X49" s="22" cm="1">
        <f t="array" ref="X49">INDEX($T$26:$T$1024, MATCH($V49 &amp; " Cuenta propia", $D$26:$D$1024 &amp; " " &amp; $B$26:$B$1024, 0))</f>
        <v>1609530.9409146449</v>
      </c>
      <c r="Y49" s="22" cm="1">
        <f t="array" ref="Y49">INDEX($T$26:$T$1024, MATCH($V49 &amp; " Asalariado sector privado", $D$26:$D$1024 &amp; " " &amp; $B$26:$B$1024, 0))</f>
        <v>714648.49906335119</v>
      </c>
      <c r="Z49" s="22" cm="1">
        <f t="array" ref="Z49">INDEX($T$26:$T$1024, MATCH($V49 &amp; " Asalariado sector público", $D$26:$D$1024 &amp; " " &amp; $B$26:$B$1024, 0))</f>
        <v>52343.525591640035</v>
      </c>
      <c r="AA49" s="22" cm="1">
        <f t="array" ref="AA49">INDEX($T$26:$T$1024, MATCH($V49 &amp; " Servicio doméstico puertas afuera", $D$26:$D$1024 &amp; " " &amp; $B$26:$B$1024, 0))</f>
        <v>122612.11937088134</v>
      </c>
      <c r="AB49" s="22" cm="1">
        <f t="array" ref="AB49">INDEX($T$26:$T$1024, MATCH($V49 &amp; " Servicio doméstico puertas adentro", $D$26:$D$1024 &amp; " " &amp; $B$26:$B$1024, 0))</f>
        <v>2370.1128076790119</v>
      </c>
      <c r="AC49" s="22" cm="1">
        <f t="array" ref="AC49">INDEX($T$26:$T$1024, MATCH($V49 &amp; " Familiar no remunerado", $D$26:$D$1024 &amp; " " &amp; $B$26:$B$1024, 0))</f>
        <v>67463.586012399595</v>
      </c>
      <c r="AD49" s="22" cm="1">
        <f t="array" ref="AD49">INDEX($T$26:$T$1024, MATCH($V49 &amp; " Total", $D$26:$D$1024 &amp; " " &amp; $B$26:$B$1024, 0))</f>
        <v>2729038.1701406231</v>
      </c>
      <c r="AE49" s="22"/>
    </row>
    <row r="50" spans="2:31" x14ac:dyDescent="0.25">
      <c r="B50" t="str">
        <f>+VLOOKUP(E50,[2]id!A:B,2,0)</f>
        <v>Asalariado sector privado</v>
      </c>
      <c r="C50" t="str">
        <f>+VLOOKUP(E50,[2]id!A:C,3,0)</f>
        <v>Dependiente</v>
      </c>
      <c r="D50">
        <v>2016</v>
      </c>
      <c r="E50">
        <v>3</v>
      </c>
      <c r="F50">
        <v>5115449.4017348941</v>
      </c>
      <c r="G50">
        <v>5115449.4017348941</v>
      </c>
      <c r="H50">
        <v>0</v>
      </c>
      <c r="I50">
        <v>0</v>
      </c>
      <c r="J50">
        <v>4203372.1144794961</v>
      </c>
      <c r="K50">
        <v>0</v>
      </c>
      <c r="L50">
        <v>0</v>
      </c>
      <c r="M50">
        <v>0</v>
      </c>
      <c r="N50">
        <v>5115449.4017348941</v>
      </c>
      <c r="O50">
        <v>4203372.1144794961</v>
      </c>
      <c r="P50" s="53">
        <v>1</v>
      </c>
      <c r="Q50" s="53">
        <v>0</v>
      </c>
      <c r="R50" s="53">
        <v>0.82170143507898463</v>
      </c>
      <c r="S50" s="53">
        <v>0.1782985649210154</v>
      </c>
      <c r="T50">
        <f t="shared" si="0"/>
        <v>912077.287255398</v>
      </c>
    </row>
    <row r="51" spans="2:31" x14ac:dyDescent="0.25">
      <c r="B51" t="str">
        <f>+VLOOKUP(E51,[2]id!A:B,2,0)</f>
        <v>No aplica</v>
      </c>
      <c r="C51" t="str">
        <f>+VLOOKUP(E51,[2]id!A:C,3,0)</f>
        <v>No aplica</v>
      </c>
      <c r="D51">
        <v>2016</v>
      </c>
      <c r="E51">
        <v>0</v>
      </c>
      <c r="F51">
        <v>6024825.0549217416</v>
      </c>
      <c r="G51">
        <v>549436.71111493791</v>
      </c>
      <c r="H51">
        <v>549436.71111493791</v>
      </c>
      <c r="I51">
        <v>0</v>
      </c>
      <c r="J51">
        <v>0</v>
      </c>
      <c r="K51">
        <v>0</v>
      </c>
      <c r="L51">
        <v>0</v>
      </c>
      <c r="M51">
        <v>0</v>
      </c>
      <c r="N51">
        <v>0</v>
      </c>
      <c r="O51">
        <v>0</v>
      </c>
      <c r="P51" s="53">
        <v>0</v>
      </c>
      <c r="Q51" s="53"/>
      <c r="R51" s="53"/>
      <c r="T51">
        <f t="shared" si="0"/>
        <v>0</v>
      </c>
    </row>
    <row r="52" spans="2:31" x14ac:dyDescent="0.25">
      <c r="B52" t="str">
        <f>+VLOOKUP(E52,[2]id!A:B,2,0)</f>
        <v>Cuenta propia</v>
      </c>
      <c r="C52" t="str">
        <f>+VLOOKUP(E52,[2]id!A:C,3,0)</f>
        <v>Independiente</v>
      </c>
      <c r="D52">
        <v>2016</v>
      </c>
      <c r="E52">
        <v>2</v>
      </c>
      <c r="F52">
        <v>1720536.73929263</v>
      </c>
      <c r="G52">
        <v>1720536.73929263</v>
      </c>
      <c r="H52">
        <v>0</v>
      </c>
      <c r="I52">
        <v>0</v>
      </c>
      <c r="J52">
        <v>0</v>
      </c>
      <c r="K52">
        <v>0</v>
      </c>
      <c r="L52">
        <v>180261.61292223129</v>
      </c>
      <c r="M52">
        <v>0</v>
      </c>
      <c r="N52">
        <v>1720536.73929263</v>
      </c>
      <c r="O52">
        <v>180261.61292223129</v>
      </c>
      <c r="P52" s="53">
        <v>1</v>
      </c>
      <c r="Q52" s="53">
        <v>0</v>
      </c>
      <c r="R52" s="53">
        <v>0.10477056886116989</v>
      </c>
      <c r="S52" s="53">
        <v>0.89522943113883002</v>
      </c>
      <c r="T52">
        <f t="shared" si="0"/>
        <v>1540275.1263703988</v>
      </c>
    </row>
    <row r="53" spans="2:31" x14ac:dyDescent="0.25">
      <c r="B53" t="str">
        <f>+VLOOKUP(E53,[2]id!A:B,2,0)</f>
        <v>Empleador</v>
      </c>
      <c r="C53" t="str">
        <f>+VLOOKUP(E53,[2]id!A:C,3,0)</f>
        <v>Independiente</v>
      </c>
      <c r="D53">
        <v>2016</v>
      </c>
      <c r="E53">
        <v>1</v>
      </c>
      <c r="F53">
        <v>357897.23953158618</v>
      </c>
      <c r="G53">
        <v>357897.23953158618</v>
      </c>
      <c r="H53">
        <v>0</v>
      </c>
      <c r="I53">
        <v>0</v>
      </c>
      <c r="J53">
        <v>0</v>
      </c>
      <c r="K53">
        <v>0</v>
      </c>
      <c r="L53">
        <v>147485.86326631621</v>
      </c>
      <c r="M53">
        <v>0</v>
      </c>
      <c r="N53">
        <v>357897.23953158618</v>
      </c>
      <c r="O53">
        <v>147485.86326631621</v>
      </c>
      <c r="P53" s="53">
        <v>1</v>
      </c>
      <c r="Q53" s="53">
        <v>0</v>
      </c>
      <c r="R53" s="53">
        <v>0.41208997157772109</v>
      </c>
      <c r="S53" s="53">
        <v>0.58791002842227891</v>
      </c>
      <c r="T53">
        <f t="shared" si="0"/>
        <v>210411.37626526997</v>
      </c>
      <c r="AE53" s="22"/>
    </row>
    <row r="54" spans="2:31" x14ac:dyDescent="0.25">
      <c r="B54" t="str">
        <f>+VLOOKUP(E54,[2]id!A:B,2,0)</f>
        <v>Servicio doméstico puertas afuera</v>
      </c>
      <c r="C54" t="str">
        <f>+VLOOKUP(E54,[2]id!A:C,3,0)</f>
        <v>Dependiente</v>
      </c>
      <c r="D54">
        <v>2016</v>
      </c>
      <c r="E54">
        <v>5</v>
      </c>
      <c r="F54">
        <v>279855.22092666058</v>
      </c>
      <c r="G54">
        <v>279855.22092666058</v>
      </c>
      <c r="H54">
        <v>0</v>
      </c>
      <c r="I54">
        <v>0</v>
      </c>
      <c r="J54">
        <v>139629.65809875651</v>
      </c>
      <c r="K54">
        <v>0</v>
      </c>
      <c r="L54">
        <v>0</v>
      </c>
      <c r="M54">
        <v>0</v>
      </c>
      <c r="N54">
        <v>279855.22092666058</v>
      </c>
      <c r="O54">
        <v>139629.65809875651</v>
      </c>
      <c r="P54" s="53">
        <v>1</v>
      </c>
      <c r="Q54" s="53">
        <v>0</v>
      </c>
      <c r="R54" s="53">
        <v>0.49893533390734252</v>
      </c>
      <c r="S54" s="53">
        <v>0.50106466609265743</v>
      </c>
      <c r="T54">
        <f t="shared" si="0"/>
        <v>140225.56282790407</v>
      </c>
      <c r="AE54" s="22"/>
    </row>
    <row r="55" spans="2:31" x14ac:dyDescent="0.25">
      <c r="B55" t="str">
        <f>+VLOOKUP(E55,[2]id!A:B,2,0)</f>
        <v>Asalariado sector público</v>
      </c>
      <c r="C55" t="str">
        <f>+VLOOKUP(E55,[2]id!A:C,3,0)</f>
        <v>Dependiente</v>
      </c>
      <c r="D55">
        <v>2016</v>
      </c>
      <c r="E55">
        <v>4</v>
      </c>
      <c r="F55">
        <v>923792.46189528587</v>
      </c>
      <c r="G55">
        <v>923792.46189528587</v>
      </c>
      <c r="H55">
        <v>0</v>
      </c>
      <c r="I55">
        <v>0</v>
      </c>
      <c r="J55">
        <v>779751.21737670025</v>
      </c>
      <c r="K55">
        <v>0</v>
      </c>
      <c r="L55">
        <v>0</v>
      </c>
      <c r="M55">
        <v>0</v>
      </c>
      <c r="N55">
        <v>923792.46189528587</v>
      </c>
      <c r="O55">
        <v>779751.21737670025</v>
      </c>
      <c r="P55" s="53">
        <v>1</v>
      </c>
      <c r="Q55" s="53">
        <v>0</v>
      </c>
      <c r="R55" s="53">
        <v>0.84407618544205765</v>
      </c>
      <c r="S55" s="53">
        <v>0.15592381455794241</v>
      </c>
      <c r="T55">
        <f t="shared" si="0"/>
        <v>144041.24451858562</v>
      </c>
      <c r="AE55" s="22"/>
    </row>
    <row r="56" spans="2:31" x14ac:dyDescent="0.25">
      <c r="B56" t="str">
        <f>+VLOOKUP(E56,[2]id!A:B,2,0)</f>
        <v>Familiar no remunerado</v>
      </c>
      <c r="C56" t="str">
        <f>+VLOOKUP(E56,[2]id!A:C,3,0)</f>
        <v>Independiente</v>
      </c>
      <c r="D56">
        <v>2016</v>
      </c>
      <c r="E56">
        <v>7</v>
      </c>
      <c r="F56">
        <v>108812.1717438117</v>
      </c>
      <c r="G56">
        <v>108812.1717438117</v>
      </c>
      <c r="H56">
        <v>0</v>
      </c>
      <c r="I56">
        <v>0</v>
      </c>
      <c r="J56">
        <v>0</v>
      </c>
      <c r="K56">
        <v>0</v>
      </c>
      <c r="L56">
        <v>0</v>
      </c>
      <c r="M56">
        <v>0</v>
      </c>
      <c r="N56">
        <v>108812.1717438117</v>
      </c>
      <c r="O56">
        <v>0</v>
      </c>
      <c r="P56" s="53">
        <v>1</v>
      </c>
      <c r="Q56" s="53">
        <v>0</v>
      </c>
      <c r="R56" s="53">
        <v>0</v>
      </c>
      <c r="S56" s="53">
        <v>1</v>
      </c>
      <c r="T56">
        <f t="shared" si="0"/>
        <v>108812.1717438117</v>
      </c>
      <c r="AE56" s="22"/>
    </row>
    <row r="57" spans="2:31" x14ac:dyDescent="0.25">
      <c r="B57" t="str">
        <f>+VLOOKUP(E57,[2]id!A:B,2,0)</f>
        <v>Servicio doméstico puertas adentro</v>
      </c>
      <c r="C57" t="str">
        <f>+VLOOKUP(E57,[2]id!A:C,3,0)</f>
        <v>Dependiente</v>
      </c>
      <c r="D57">
        <v>2016</v>
      </c>
      <c r="E57">
        <v>6</v>
      </c>
      <c r="F57">
        <v>38876.709953493533</v>
      </c>
      <c r="G57">
        <v>38876.709953493533</v>
      </c>
      <c r="H57">
        <v>0</v>
      </c>
      <c r="I57">
        <v>0</v>
      </c>
      <c r="J57">
        <v>33386.141018525617</v>
      </c>
      <c r="K57">
        <v>0</v>
      </c>
      <c r="L57">
        <v>0</v>
      </c>
      <c r="M57">
        <v>0</v>
      </c>
      <c r="N57">
        <v>38876.709953493533</v>
      </c>
      <c r="O57">
        <v>33386.141018525617</v>
      </c>
      <c r="P57" s="53">
        <v>1</v>
      </c>
      <c r="Q57" s="53">
        <v>0</v>
      </c>
      <c r="R57" s="53">
        <v>0.85876971221237508</v>
      </c>
      <c r="S57" s="53">
        <v>0.14123028778762489</v>
      </c>
      <c r="T57">
        <f t="shared" si="0"/>
        <v>5490.568934967916</v>
      </c>
      <c r="AE57" s="22"/>
    </row>
    <row r="58" spans="2:31" x14ac:dyDescent="0.25">
      <c r="B58" t="str">
        <f>+VLOOKUP(E58,[2]id!A:B,2,0)</f>
        <v>Empleador</v>
      </c>
      <c r="C58" t="str">
        <f>+VLOOKUP(E58,[2]id!A:C,3,0)</f>
        <v>Independiente</v>
      </c>
      <c r="D58">
        <v>2017</v>
      </c>
      <c r="E58">
        <v>1</v>
      </c>
      <c r="F58">
        <v>386464.80172418163</v>
      </c>
      <c r="G58">
        <v>386464.80172418163</v>
      </c>
      <c r="H58">
        <v>0</v>
      </c>
      <c r="I58">
        <v>51207.188907022661</v>
      </c>
      <c r="J58">
        <v>0</v>
      </c>
      <c r="K58">
        <v>0</v>
      </c>
      <c r="L58">
        <v>166718.98356068041</v>
      </c>
      <c r="M58">
        <v>35.662285851209589</v>
      </c>
      <c r="N58">
        <v>386464.80172418163</v>
      </c>
      <c r="O58">
        <v>166754.64584653161</v>
      </c>
      <c r="P58" s="53">
        <v>1</v>
      </c>
      <c r="Q58" s="53">
        <v>0.13250155946561221</v>
      </c>
      <c r="R58" s="53">
        <v>0.4314872793138449</v>
      </c>
      <c r="S58" s="53">
        <v>0.5685127206861551</v>
      </c>
      <c r="T58">
        <f t="shared" ref="T58:T89" si="1">+N58-O58</f>
        <v>219710.15587765002</v>
      </c>
      <c r="AE58" s="22"/>
    </row>
    <row r="59" spans="2:31" x14ac:dyDescent="0.25">
      <c r="B59" t="str">
        <f>+VLOOKUP(E59,[2]id!A:B,2,0)</f>
        <v>Asalariado sector privado</v>
      </c>
      <c r="C59" t="str">
        <f>+VLOOKUP(E59,[2]id!A:C,3,0)</f>
        <v>Dependiente</v>
      </c>
      <c r="D59">
        <v>2017</v>
      </c>
      <c r="E59">
        <v>3</v>
      </c>
      <c r="F59">
        <v>5152778.6776565211</v>
      </c>
      <c r="G59">
        <v>5152778.6776565211</v>
      </c>
      <c r="H59">
        <v>0</v>
      </c>
      <c r="I59">
        <v>931184.36150101468</v>
      </c>
      <c r="J59">
        <v>4176423.7690790878</v>
      </c>
      <c r="K59">
        <v>0</v>
      </c>
      <c r="L59">
        <v>0</v>
      </c>
      <c r="M59">
        <v>0</v>
      </c>
      <c r="N59">
        <v>5152778.6776565211</v>
      </c>
      <c r="O59">
        <v>4176423.7690790878</v>
      </c>
      <c r="P59" s="53">
        <v>1</v>
      </c>
      <c r="Q59" s="53">
        <v>0.18071499277444539</v>
      </c>
      <c r="R59" s="53">
        <v>0.8105187570327631</v>
      </c>
      <c r="S59" s="53">
        <v>0.1894812429672369</v>
      </c>
      <c r="T59">
        <f t="shared" si="1"/>
        <v>976354.90857743332</v>
      </c>
      <c r="AE59" s="22"/>
    </row>
    <row r="60" spans="2:31" x14ac:dyDescent="0.25">
      <c r="B60" t="str">
        <f>+VLOOKUP(E60,[2]id!A:B,2,0)</f>
        <v>No aplica</v>
      </c>
      <c r="C60" t="str">
        <f>+VLOOKUP(E60,[2]id!A:C,3,0)</f>
        <v>No aplica</v>
      </c>
      <c r="D60">
        <v>2017</v>
      </c>
      <c r="E60">
        <v>0</v>
      </c>
      <c r="F60">
        <v>6063142.2591771828</v>
      </c>
      <c r="G60">
        <v>611646.78912147437</v>
      </c>
      <c r="H60">
        <v>611646.78912147437</v>
      </c>
      <c r="I60">
        <v>0</v>
      </c>
      <c r="J60">
        <v>0</v>
      </c>
      <c r="K60">
        <v>0</v>
      </c>
      <c r="L60">
        <v>0</v>
      </c>
      <c r="M60">
        <v>0</v>
      </c>
      <c r="N60">
        <v>0</v>
      </c>
      <c r="O60">
        <v>0</v>
      </c>
      <c r="P60" s="53">
        <v>0</v>
      </c>
      <c r="Q60" s="53"/>
      <c r="R60" s="53"/>
      <c r="T60">
        <f t="shared" si="1"/>
        <v>0</v>
      </c>
      <c r="AE60" s="22"/>
    </row>
    <row r="61" spans="2:31" x14ac:dyDescent="0.25">
      <c r="B61" t="str">
        <f>+VLOOKUP(E61,[2]id!A:B,2,0)</f>
        <v>Asalariado sector público</v>
      </c>
      <c r="C61" t="str">
        <f>+VLOOKUP(E61,[2]id!A:C,3,0)</f>
        <v>Dependiente</v>
      </c>
      <c r="D61">
        <v>2017</v>
      </c>
      <c r="E61">
        <v>4</v>
      </c>
      <c r="F61">
        <v>1035795.42456946</v>
      </c>
      <c r="G61">
        <v>1035795.42456946</v>
      </c>
      <c r="H61">
        <v>0</v>
      </c>
      <c r="I61">
        <v>135333.3283312032</v>
      </c>
      <c r="J61">
        <v>883285.81096728996</v>
      </c>
      <c r="K61">
        <v>0</v>
      </c>
      <c r="L61">
        <v>0</v>
      </c>
      <c r="M61">
        <v>0</v>
      </c>
      <c r="N61">
        <v>1035795.42456946</v>
      </c>
      <c r="O61">
        <v>883285.81096728996</v>
      </c>
      <c r="P61" s="53">
        <v>1</v>
      </c>
      <c r="Q61" s="53">
        <v>0.13065642608670139</v>
      </c>
      <c r="R61" s="53">
        <v>0.85276087344606422</v>
      </c>
      <c r="S61" s="53">
        <v>0.14723912655393581</v>
      </c>
      <c r="T61">
        <f t="shared" si="1"/>
        <v>152509.61360217002</v>
      </c>
      <c r="AE61" s="22"/>
    </row>
    <row r="62" spans="2:31" x14ac:dyDescent="0.25">
      <c r="B62" t="str">
        <f>+VLOOKUP(E62,[2]id!A:B,2,0)</f>
        <v>Cuenta propia</v>
      </c>
      <c r="C62" t="str">
        <f>+VLOOKUP(E62,[2]id!A:C,3,0)</f>
        <v>Independiente</v>
      </c>
      <c r="D62">
        <v>2017</v>
      </c>
      <c r="E62">
        <v>2</v>
      </c>
      <c r="F62">
        <v>1811385.2075191061</v>
      </c>
      <c r="G62">
        <v>1811385.2075191061</v>
      </c>
      <c r="H62">
        <v>0</v>
      </c>
      <c r="I62">
        <v>1158299.4952942841</v>
      </c>
      <c r="J62">
        <v>0</v>
      </c>
      <c r="K62">
        <v>0</v>
      </c>
      <c r="L62">
        <v>197469.75560133401</v>
      </c>
      <c r="M62">
        <v>1716.033865536119</v>
      </c>
      <c r="N62">
        <v>1811385.2075191061</v>
      </c>
      <c r="O62">
        <v>199185.7894668701</v>
      </c>
      <c r="P62" s="53">
        <v>1</v>
      </c>
      <c r="Q62" s="53">
        <v>0.63945509242658782</v>
      </c>
      <c r="R62" s="53">
        <v>0.1099632417445195</v>
      </c>
      <c r="S62" s="53">
        <v>0.89003675825548045</v>
      </c>
      <c r="T62">
        <f t="shared" si="1"/>
        <v>1612199.4180522361</v>
      </c>
      <c r="AE62" s="22"/>
    </row>
    <row r="63" spans="2:31" x14ac:dyDescent="0.25">
      <c r="B63" t="str">
        <f>+VLOOKUP(E63,[2]id!A:B,2,0)</f>
        <v>Familiar no remunerado</v>
      </c>
      <c r="C63" t="str">
        <f>+VLOOKUP(E63,[2]id!A:C,3,0)</f>
        <v>Independiente</v>
      </c>
      <c r="D63">
        <v>2017</v>
      </c>
      <c r="E63">
        <v>7</v>
      </c>
      <c r="F63">
        <v>99026.504217542562</v>
      </c>
      <c r="G63">
        <v>99026.504217542562</v>
      </c>
      <c r="H63">
        <v>0</v>
      </c>
      <c r="I63">
        <v>99007.133749554036</v>
      </c>
      <c r="J63">
        <v>0</v>
      </c>
      <c r="K63">
        <v>0</v>
      </c>
      <c r="L63">
        <v>0</v>
      </c>
      <c r="M63">
        <v>0</v>
      </c>
      <c r="N63">
        <v>99026.504217542562</v>
      </c>
      <c r="O63">
        <v>0</v>
      </c>
      <c r="P63" s="53">
        <v>1</v>
      </c>
      <c r="Q63" s="53">
        <v>0.99980439107548447</v>
      </c>
      <c r="R63" s="53">
        <v>0</v>
      </c>
      <c r="S63" s="53">
        <v>1</v>
      </c>
      <c r="T63">
        <f t="shared" si="1"/>
        <v>99026.504217542562</v>
      </c>
    </row>
    <row r="64" spans="2:31" x14ac:dyDescent="0.25">
      <c r="B64" t="str">
        <f>+VLOOKUP(E64,[2]id!A:B,2,0)</f>
        <v>Servicio doméstico puertas afuera</v>
      </c>
      <c r="C64" t="str">
        <f>+VLOOKUP(E64,[2]id!A:C,3,0)</f>
        <v>Dependiente</v>
      </c>
      <c r="D64">
        <v>2017</v>
      </c>
      <c r="E64">
        <v>5</v>
      </c>
      <c r="F64">
        <v>244437.80997686399</v>
      </c>
      <c r="G64">
        <v>244437.80997686399</v>
      </c>
      <c r="H64">
        <v>0</v>
      </c>
      <c r="I64">
        <v>130796.7225899327</v>
      </c>
      <c r="J64">
        <v>116228.8749848555</v>
      </c>
      <c r="K64">
        <v>0</v>
      </c>
      <c r="L64">
        <v>0</v>
      </c>
      <c r="M64">
        <v>0</v>
      </c>
      <c r="N64">
        <v>244437.80997686399</v>
      </c>
      <c r="O64">
        <v>116228.8749848555</v>
      </c>
      <c r="P64" s="53">
        <v>1</v>
      </c>
      <c r="Q64" s="53">
        <v>0.53509202443890558</v>
      </c>
      <c r="R64" s="53">
        <v>0.47549466670420809</v>
      </c>
      <c r="S64" s="53">
        <v>0.52450533329579185</v>
      </c>
      <c r="T64">
        <f t="shared" si="1"/>
        <v>128208.93499200849</v>
      </c>
    </row>
    <row r="65" spans="2:20" x14ac:dyDescent="0.25">
      <c r="B65" t="str">
        <f>+VLOOKUP(E65,[2]id!A:B,2,0)</f>
        <v>Servicio doméstico puertas adentro</v>
      </c>
      <c r="C65" t="str">
        <f>+VLOOKUP(E65,[2]id!A:C,3,0)</f>
        <v>Dependiente</v>
      </c>
      <c r="D65">
        <v>2017</v>
      </c>
      <c r="E65">
        <v>6</v>
      </c>
      <c r="F65">
        <v>58767.315220322387</v>
      </c>
      <c r="G65">
        <v>58767.315220322387</v>
      </c>
      <c r="H65">
        <v>0</v>
      </c>
      <c r="I65">
        <v>11936.852443090471</v>
      </c>
      <c r="J65">
        <v>47187.003307679173</v>
      </c>
      <c r="K65">
        <v>0</v>
      </c>
      <c r="L65">
        <v>0</v>
      </c>
      <c r="M65">
        <v>0</v>
      </c>
      <c r="N65">
        <v>58767.315220322387</v>
      </c>
      <c r="O65">
        <v>47187.003307679173</v>
      </c>
      <c r="P65" s="53">
        <v>1</v>
      </c>
      <c r="Q65" s="53">
        <v>0.2031206019594132</v>
      </c>
      <c r="R65" s="53">
        <v>0.80294638492114379</v>
      </c>
      <c r="S65" s="53">
        <v>0.19705361507885619</v>
      </c>
      <c r="T65">
        <f t="shared" si="1"/>
        <v>11580.311912643214</v>
      </c>
    </row>
    <row r="66" spans="2:20" x14ac:dyDescent="0.25">
      <c r="B66" t="str">
        <f>+VLOOKUP(E66,[2]id!A:B,2,0)</f>
        <v>Asalariado sector público</v>
      </c>
      <c r="C66" t="str">
        <f>+VLOOKUP(E66,[2]id!A:C,3,0)</f>
        <v>Dependiente</v>
      </c>
      <c r="D66">
        <v>2018</v>
      </c>
      <c r="E66">
        <v>4</v>
      </c>
      <c r="F66">
        <v>1074419.7257870359</v>
      </c>
      <c r="G66">
        <v>1074419.7257870359</v>
      </c>
      <c r="H66">
        <v>0</v>
      </c>
      <c r="I66">
        <v>119262.9618312543</v>
      </c>
      <c r="J66">
        <v>941437.36541130126</v>
      </c>
      <c r="K66">
        <v>0</v>
      </c>
      <c r="L66">
        <v>0</v>
      </c>
      <c r="M66">
        <v>0</v>
      </c>
      <c r="N66">
        <v>1074419.7257870359</v>
      </c>
      <c r="O66">
        <v>941437.36541130126</v>
      </c>
      <c r="P66" s="53">
        <v>1</v>
      </c>
      <c r="Q66" s="53">
        <v>0.1110022079535924</v>
      </c>
      <c r="R66" s="53">
        <v>0.87622866819731726</v>
      </c>
      <c r="S66" s="53">
        <v>0.1237713318026827</v>
      </c>
      <c r="T66">
        <f t="shared" si="1"/>
        <v>132982.36037573463</v>
      </c>
    </row>
    <row r="67" spans="2:20" x14ac:dyDescent="0.25">
      <c r="B67" t="str">
        <f>+VLOOKUP(E67,[2]id!A:B,2,0)</f>
        <v>No aplica</v>
      </c>
      <c r="C67" t="str">
        <f>+VLOOKUP(E67,[2]id!A:C,3,0)</f>
        <v>No aplica</v>
      </c>
      <c r="D67">
        <v>2018</v>
      </c>
      <c r="E67">
        <v>0</v>
      </c>
      <c r="F67">
        <v>6226593.5573780565</v>
      </c>
      <c r="G67">
        <v>678820.99608842819</v>
      </c>
      <c r="H67">
        <v>678820.99608842819</v>
      </c>
      <c r="I67">
        <v>0</v>
      </c>
      <c r="J67">
        <v>0</v>
      </c>
      <c r="K67">
        <v>0</v>
      </c>
      <c r="L67">
        <v>0</v>
      </c>
      <c r="M67">
        <v>0</v>
      </c>
      <c r="N67">
        <v>0</v>
      </c>
      <c r="O67">
        <v>0</v>
      </c>
      <c r="P67" s="53">
        <v>0</v>
      </c>
      <c r="Q67" s="53"/>
      <c r="R67" s="53"/>
      <c r="T67">
        <f t="shared" si="1"/>
        <v>0</v>
      </c>
    </row>
    <row r="68" spans="2:20" x14ac:dyDescent="0.25">
      <c r="B68" t="str">
        <f>+VLOOKUP(E68,[2]id!A:B,2,0)</f>
        <v>Asalariado sector privado</v>
      </c>
      <c r="C68" t="str">
        <f>+VLOOKUP(E68,[2]id!A:C,3,0)</f>
        <v>Dependiente</v>
      </c>
      <c r="D68">
        <v>2018</v>
      </c>
      <c r="E68">
        <v>3</v>
      </c>
      <c r="F68">
        <v>5246753.8148990367</v>
      </c>
      <c r="G68">
        <v>5246753.8148990367</v>
      </c>
      <c r="H68">
        <v>0</v>
      </c>
      <c r="I68">
        <v>901752.32399342873</v>
      </c>
      <c r="J68">
        <v>4312966.8486740384</v>
      </c>
      <c r="K68">
        <v>0</v>
      </c>
      <c r="L68">
        <v>0</v>
      </c>
      <c r="M68">
        <v>0</v>
      </c>
      <c r="N68">
        <v>5246753.8148990367</v>
      </c>
      <c r="O68">
        <v>4312966.8486740384</v>
      </c>
      <c r="P68" s="53">
        <v>1</v>
      </c>
      <c r="Q68" s="53">
        <v>0.17186861739781881</v>
      </c>
      <c r="R68" s="53">
        <v>0.8220257707587969</v>
      </c>
      <c r="S68" s="53">
        <v>0.1779742292412031</v>
      </c>
      <c r="T68">
        <f t="shared" si="1"/>
        <v>933786.96622499824</v>
      </c>
    </row>
    <row r="69" spans="2:20" x14ac:dyDescent="0.25">
      <c r="B69" t="str">
        <f>+VLOOKUP(E69,[2]id!A:B,2,0)</f>
        <v>Cuenta propia</v>
      </c>
      <c r="C69" t="str">
        <f>+VLOOKUP(E69,[2]id!A:C,3,0)</f>
        <v>Independiente</v>
      </c>
      <c r="D69">
        <v>2018</v>
      </c>
      <c r="E69">
        <v>2</v>
      </c>
      <c r="F69">
        <v>1820494.891730509</v>
      </c>
      <c r="G69">
        <v>1820494.891730509</v>
      </c>
      <c r="H69">
        <v>0</v>
      </c>
      <c r="I69">
        <v>1206352.2379174409</v>
      </c>
      <c r="J69">
        <v>0</v>
      </c>
      <c r="K69">
        <v>0</v>
      </c>
      <c r="L69">
        <v>215821.0433973817</v>
      </c>
      <c r="M69">
        <v>1331.758290754465</v>
      </c>
      <c r="N69">
        <v>1820494.891730509</v>
      </c>
      <c r="O69">
        <v>217152.80168813621</v>
      </c>
      <c r="P69" s="53">
        <v>1</v>
      </c>
      <c r="Q69" s="53">
        <v>0.66265071294471889</v>
      </c>
      <c r="R69" s="53">
        <v>0.1192822911366244</v>
      </c>
      <c r="S69" s="53">
        <v>0.88071770886337553</v>
      </c>
      <c r="T69">
        <f t="shared" si="1"/>
        <v>1603342.0900423727</v>
      </c>
    </row>
    <row r="70" spans="2:20" x14ac:dyDescent="0.25">
      <c r="B70" t="str">
        <f>+VLOOKUP(E70,[2]id!A:B,2,0)</f>
        <v>Empleador</v>
      </c>
      <c r="C70" t="str">
        <f>+VLOOKUP(E70,[2]id!A:C,3,0)</f>
        <v>Independiente</v>
      </c>
      <c r="D70">
        <v>2018</v>
      </c>
      <c r="E70">
        <v>1</v>
      </c>
      <c r="F70">
        <v>403236.44621618482</v>
      </c>
      <c r="G70">
        <v>403236.44621618482</v>
      </c>
      <c r="H70">
        <v>0</v>
      </c>
      <c r="I70">
        <v>58184.707617320608</v>
      </c>
      <c r="J70">
        <v>0</v>
      </c>
      <c r="K70">
        <v>0</v>
      </c>
      <c r="L70">
        <v>161517.75957273689</v>
      </c>
      <c r="M70">
        <v>0</v>
      </c>
      <c r="N70">
        <v>403236.44621618482</v>
      </c>
      <c r="O70">
        <v>161517.75957273689</v>
      </c>
      <c r="P70" s="53">
        <v>1</v>
      </c>
      <c r="Q70" s="53">
        <v>0.14429426745350879</v>
      </c>
      <c r="R70" s="53">
        <v>0.40055347448961331</v>
      </c>
      <c r="S70" s="53">
        <v>0.59944652551038669</v>
      </c>
      <c r="T70">
        <f t="shared" si="1"/>
        <v>241718.68664344793</v>
      </c>
    </row>
    <row r="71" spans="2:20" x14ac:dyDescent="0.25">
      <c r="B71" t="str">
        <f>+VLOOKUP(E71,[2]id!A:B,2,0)</f>
        <v>Servicio doméstico puertas adentro</v>
      </c>
      <c r="C71" t="str">
        <f>+VLOOKUP(E71,[2]id!A:C,3,0)</f>
        <v>Dependiente</v>
      </c>
      <c r="D71">
        <v>2018</v>
      </c>
      <c r="E71">
        <v>6</v>
      </c>
      <c r="F71">
        <v>48446.350604651947</v>
      </c>
      <c r="G71">
        <v>48446.350604651947</v>
      </c>
      <c r="H71">
        <v>0</v>
      </c>
      <c r="I71">
        <v>9500.4014906460543</v>
      </c>
      <c r="J71">
        <v>38945.949114005889</v>
      </c>
      <c r="K71">
        <v>0</v>
      </c>
      <c r="L71">
        <v>0</v>
      </c>
      <c r="M71">
        <v>0</v>
      </c>
      <c r="N71">
        <v>48446.350604651947</v>
      </c>
      <c r="O71">
        <v>38945.949114005889</v>
      </c>
      <c r="P71" s="53">
        <v>1</v>
      </c>
      <c r="Q71" s="53">
        <v>0.19610148900944871</v>
      </c>
      <c r="R71" s="53">
        <v>0.80389851099055121</v>
      </c>
      <c r="S71" s="53">
        <v>0.19610148900944879</v>
      </c>
      <c r="T71">
        <f t="shared" si="1"/>
        <v>9500.4014906460579</v>
      </c>
    </row>
    <row r="72" spans="2:20" x14ac:dyDescent="0.25">
      <c r="B72" t="str">
        <f>+VLOOKUP(E72,[2]id!A:B,2,0)</f>
        <v>Familiar no remunerado</v>
      </c>
      <c r="C72" t="str">
        <f>+VLOOKUP(E72,[2]id!A:C,3,0)</f>
        <v>Independiente</v>
      </c>
      <c r="D72">
        <v>2018</v>
      </c>
      <c r="E72">
        <v>7</v>
      </c>
      <c r="F72">
        <v>107004.7049975168</v>
      </c>
      <c r="G72">
        <v>107004.7049975168</v>
      </c>
      <c r="H72">
        <v>0</v>
      </c>
      <c r="I72">
        <v>107004.7049975168</v>
      </c>
      <c r="J72">
        <v>0</v>
      </c>
      <c r="K72">
        <v>0</v>
      </c>
      <c r="L72">
        <v>0</v>
      </c>
      <c r="M72">
        <v>0</v>
      </c>
      <c r="N72">
        <v>107004.7049975168</v>
      </c>
      <c r="O72">
        <v>0</v>
      </c>
      <c r="P72" s="53">
        <v>1</v>
      </c>
      <c r="Q72" s="53">
        <v>1</v>
      </c>
      <c r="R72" s="53">
        <v>0</v>
      </c>
      <c r="S72" s="53">
        <v>1</v>
      </c>
      <c r="T72">
        <f t="shared" si="1"/>
        <v>107004.7049975168</v>
      </c>
    </row>
    <row r="73" spans="2:20" x14ac:dyDescent="0.25">
      <c r="B73" t="str">
        <f>+VLOOKUP(E73,[2]id!A:B,2,0)</f>
        <v>Servicio doméstico puertas afuera</v>
      </c>
      <c r="C73" t="str">
        <f>+VLOOKUP(E73,[2]id!A:C,3,0)</f>
        <v>Dependiente</v>
      </c>
      <c r="D73">
        <v>2018</v>
      </c>
      <c r="E73">
        <v>5</v>
      </c>
      <c r="F73">
        <v>255143.5083870783</v>
      </c>
      <c r="G73">
        <v>255143.5083870783</v>
      </c>
      <c r="H73">
        <v>0</v>
      </c>
      <c r="I73">
        <v>147553.06925818441</v>
      </c>
      <c r="J73">
        <v>107626.6334155861</v>
      </c>
      <c r="K73">
        <v>0</v>
      </c>
      <c r="L73">
        <v>0</v>
      </c>
      <c r="M73">
        <v>0</v>
      </c>
      <c r="N73">
        <v>255143.5083870783</v>
      </c>
      <c r="O73">
        <v>107626.6334155861</v>
      </c>
      <c r="P73" s="53">
        <v>1</v>
      </c>
      <c r="Q73" s="53">
        <v>0.57831402488332806</v>
      </c>
      <c r="R73" s="53">
        <v>0.42182783366099069</v>
      </c>
      <c r="S73" s="53">
        <v>0.57817216633900936</v>
      </c>
      <c r="T73">
        <f t="shared" si="1"/>
        <v>147516.87497149222</v>
      </c>
    </row>
    <row r="74" spans="2:20" x14ac:dyDescent="0.25">
      <c r="B74" t="str">
        <f>+VLOOKUP(E74,[2]id!A:B,2,0)</f>
        <v>No aplica</v>
      </c>
      <c r="C74" t="str">
        <f>+VLOOKUP(E74,[2]id!A:C,3,0)</f>
        <v>No aplica</v>
      </c>
      <c r="D74">
        <v>2019</v>
      </c>
      <c r="E74">
        <v>0</v>
      </c>
      <c r="F74">
        <v>6375808.8579541966</v>
      </c>
      <c r="G74">
        <v>668326.77891817514</v>
      </c>
      <c r="H74">
        <v>668326.77891817514</v>
      </c>
      <c r="I74">
        <v>0</v>
      </c>
      <c r="J74">
        <v>0</v>
      </c>
      <c r="K74">
        <v>0</v>
      </c>
      <c r="L74">
        <v>0</v>
      </c>
      <c r="M74">
        <v>0</v>
      </c>
      <c r="N74">
        <v>0</v>
      </c>
      <c r="O74">
        <v>0</v>
      </c>
      <c r="P74" s="53">
        <v>0</v>
      </c>
      <c r="Q74" s="53"/>
      <c r="R74" s="53"/>
      <c r="T74">
        <f t="shared" si="1"/>
        <v>0</v>
      </c>
    </row>
    <row r="75" spans="2:20" x14ac:dyDescent="0.25">
      <c r="B75" t="str">
        <f>+VLOOKUP(E75,[2]id!A:B,2,0)</f>
        <v>Asalariado sector privado</v>
      </c>
      <c r="C75" t="str">
        <f>+VLOOKUP(E75,[2]id!A:C,3,0)</f>
        <v>Dependiente</v>
      </c>
      <c r="D75">
        <v>2019</v>
      </c>
      <c r="E75">
        <v>3</v>
      </c>
      <c r="F75">
        <v>5382183.2101940475</v>
      </c>
      <c r="G75">
        <v>5382183.2101940475</v>
      </c>
      <c r="H75">
        <v>0</v>
      </c>
      <c r="I75">
        <v>931755.09982931346</v>
      </c>
      <c r="J75">
        <v>4396215.1468016803</v>
      </c>
      <c r="K75">
        <v>129223.0114963009</v>
      </c>
      <c r="L75">
        <v>0</v>
      </c>
      <c r="M75">
        <v>0</v>
      </c>
      <c r="N75">
        <v>5382183.2101940475</v>
      </c>
      <c r="O75">
        <v>4525438.1582979811</v>
      </c>
      <c r="P75" s="53">
        <v>1</v>
      </c>
      <c r="Q75" s="53">
        <v>0.17311842860802951</v>
      </c>
      <c r="R75" s="53">
        <v>0.84081830394153778</v>
      </c>
      <c r="S75" s="53">
        <v>0.15918169605846219</v>
      </c>
      <c r="T75">
        <f t="shared" si="1"/>
        <v>856745.0518960664</v>
      </c>
    </row>
    <row r="76" spans="2:20" x14ac:dyDescent="0.25">
      <c r="B76" t="str">
        <f>+VLOOKUP(E76,[2]id!A:B,2,0)</f>
        <v>Empleador</v>
      </c>
      <c r="C76" t="str">
        <f>+VLOOKUP(E76,[2]id!A:C,3,0)</f>
        <v>Independiente</v>
      </c>
      <c r="D76">
        <v>2019</v>
      </c>
      <c r="E76">
        <v>1</v>
      </c>
      <c r="F76">
        <v>395590.30476635398</v>
      </c>
      <c r="G76">
        <v>395590.30476635398</v>
      </c>
      <c r="H76">
        <v>0</v>
      </c>
      <c r="I76">
        <v>48176.223702912772</v>
      </c>
      <c r="J76">
        <v>0</v>
      </c>
      <c r="K76">
        <v>0</v>
      </c>
      <c r="L76">
        <v>138051.2424380499</v>
      </c>
      <c r="M76">
        <v>1551.436977766471</v>
      </c>
      <c r="N76">
        <v>395590.30476635398</v>
      </c>
      <c r="O76">
        <v>139602.67941581641</v>
      </c>
      <c r="P76" s="53">
        <v>1</v>
      </c>
      <c r="Q76" s="53">
        <v>0.1217831254266126</v>
      </c>
      <c r="R76" s="53">
        <v>0.35289712041418547</v>
      </c>
      <c r="S76" s="53">
        <v>0.64710287958581447</v>
      </c>
      <c r="T76">
        <f t="shared" si="1"/>
        <v>255987.62535053756</v>
      </c>
    </row>
    <row r="77" spans="2:20" x14ac:dyDescent="0.25">
      <c r="B77" t="str">
        <f>+VLOOKUP(E77,[2]id!A:B,2,0)</f>
        <v>Familiar no remunerado</v>
      </c>
      <c r="C77" t="str">
        <f>+VLOOKUP(E77,[2]id!A:C,3,0)</f>
        <v>Independiente</v>
      </c>
      <c r="D77">
        <v>2019</v>
      </c>
      <c r="E77">
        <v>7</v>
      </c>
      <c r="F77">
        <v>80175.813291301834</v>
      </c>
      <c r="G77">
        <v>80175.813291301834</v>
      </c>
      <c r="H77">
        <v>0</v>
      </c>
      <c r="I77">
        <v>80175.813291301834</v>
      </c>
      <c r="J77">
        <v>0</v>
      </c>
      <c r="K77">
        <v>0</v>
      </c>
      <c r="L77">
        <v>0</v>
      </c>
      <c r="M77">
        <v>0</v>
      </c>
      <c r="N77">
        <v>80175.813291301834</v>
      </c>
      <c r="O77">
        <v>0</v>
      </c>
      <c r="P77" s="53">
        <v>1</v>
      </c>
      <c r="Q77" s="53">
        <v>1</v>
      </c>
      <c r="R77" s="53">
        <v>0</v>
      </c>
      <c r="S77" s="53">
        <v>1</v>
      </c>
      <c r="T77">
        <f t="shared" si="1"/>
        <v>80175.813291301834</v>
      </c>
    </row>
    <row r="78" spans="2:20" x14ac:dyDescent="0.25">
      <c r="B78" t="str">
        <f>+VLOOKUP(E78,[2]id!A:B,2,0)</f>
        <v>Cuenta propia</v>
      </c>
      <c r="C78" t="str">
        <f>+VLOOKUP(E78,[2]id!A:C,3,0)</f>
        <v>Independiente</v>
      </c>
      <c r="D78">
        <v>2019</v>
      </c>
      <c r="E78">
        <v>2</v>
      </c>
      <c r="F78">
        <v>1848115.239533422</v>
      </c>
      <c r="G78">
        <v>1848115.239533422</v>
      </c>
      <c r="H78">
        <v>0</v>
      </c>
      <c r="I78">
        <v>1250998.4251922921</v>
      </c>
      <c r="J78">
        <v>0</v>
      </c>
      <c r="K78">
        <v>0</v>
      </c>
      <c r="L78">
        <v>201959.86657996269</v>
      </c>
      <c r="M78">
        <v>1131.6470353040511</v>
      </c>
      <c r="N78">
        <v>1848115.239533422</v>
      </c>
      <c r="O78">
        <v>203091.51361526671</v>
      </c>
      <c r="P78" s="53">
        <v>1</v>
      </c>
      <c r="Q78" s="53">
        <v>0.67690498862404302</v>
      </c>
      <c r="R78" s="53">
        <v>0.1098911524946569</v>
      </c>
      <c r="S78" s="53">
        <v>0.89010884750534303</v>
      </c>
      <c r="T78">
        <f t="shared" si="1"/>
        <v>1645023.7259181554</v>
      </c>
    </row>
    <row r="79" spans="2:20" x14ac:dyDescent="0.25">
      <c r="B79" t="str">
        <f>+VLOOKUP(E79,[2]id!A:B,2,0)</f>
        <v>Asalariado sector público</v>
      </c>
      <c r="C79" t="str">
        <f>+VLOOKUP(E79,[2]id!A:C,3,0)</f>
        <v>Dependiente</v>
      </c>
      <c r="D79">
        <v>2019</v>
      </c>
      <c r="E79">
        <v>4</v>
      </c>
      <c r="F79">
        <v>1134248.5585110381</v>
      </c>
      <c r="G79">
        <v>1134248.5585110381</v>
      </c>
      <c r="H79">
        <v>0</v>
      </c>
      <c r="I79">
        <v>123603.21728061741</v>
      </c>
      <c r="J79">
        <v>990056.52849535865</v>
      </c>
      <c r="K79">
        <v>90082.911625213092</v>
      </c>
      <c r="L79">
        <v>0</v>
      </c>
      <c r="M79">
        <v>0</v>
      </c>
      <c r="N79">
        <v>1134248.5585110381</v>
      </c>
      <c r="O79">
        <v>1080139.440120572</v>
      </c>
      <c r="P79" s="53">
        <v>1</v>
      </c>
      <c r="Q79" s="53">
        <v>0.1089736604495888</v>
      </c>
      <c r="R79" s="53">
        <v>0.95229518434522253</v>
      </c>
      <c r="S79" s="53">
        <v>4.7704815654777473E-2</v>
      </c>
      <c r="T79">
        <f t="shared" si="1"/>
        <v>54109.118390466087</v>
      </c>
    </row>
    <row r="80" spans="2:20" x14ac:dyDescent="0.25">
      <c r="B80" t="str">
        <f>+VLOOKUP(E80,[2]id!A:B,2,0)</f>
        <v>Servicio doméstico puertas afuera</v>
      </c>
      <c r="C80" t="str">
        <f>+VLOOKUP(E80,[2]id!A:C,3,0)</f>
        <v>Dependiente</v>
      </c>
      <c r="D80">
        <v>2019</v>
      </c>
      <c r="E80">
        <v>5</v>
      </c>
      <c r="F80">
        <v>258572.2717454957</v>
      </c>
      <c r="G80">
        <v>258572.2717454957</v>
      </c>
      <c r="H80">
        <v>0</v>
      </c>
      <c r="I80">
        <v>140317.31660924351</v>
      </c>
      <c r="J80">
        <v>119357.8524375441</v>
      </c>
      <c r="K80">
        <v>0</v>
      </c>
      <c r="L80">
        <v>0</v>
      </c>
      <c r="M80">
        <v>0</v>
      </c>
      <c r="N80">
        <v>258572.2717454957</v>
      </c>
      <c r="O80">
        <v>119357.8524375441</v>
      </c>
      <c r="P80" s="53">
        <v>1</v>
      </c>
      <c r="Q80" s="53">
        <v>0.5426618858318778</v>
      </c>
      <c r="R80" s="53">
        <v>0.46160344893834598</v>
      </c>
      <c r="S80" s="53">
        <v>0.53839655106165396</v>
      </c>
      <c r="T80">
        <f t="shared" si="1"/>
        <v>139214.41930795158</v>
      </c>
    </row>
    <row r="81" spans="2:20" x14ac:dyDescent="0.25">
      <c r="B81" t="str">
        <f>+VLOOKUP(E81,[2]id!A:B,2,0)</f>
        <v>Servicio doméstico puertas adentro</v>
      </c>
      <c r="C81" t="str">
        <f>+VLOOKUP(E81,[2]id!A:C,3,0)</f>
        <v>Dependiente</v>
      </c>
      <c r="D81">
        <v>2019</v>
      </c>
      <c r="E81">
        <v>6</v>
      </c>
      <c r="F81">
        <v>41158.763793945771</v>
      </c>
      <c r="G81">
        <v>41158.763793945771</v>
      </c>
      <c r="H81">
        <v>0</v>
      </c>
      <c r="I81">
        <v>5697.7546140464128</v>
      </c>
      <c r="J81">
        <v>35461.009179899353</v>
      </c>
      <c r="K81">
        <v>0</v>
      </c>
      <c r="L81">
        <v>0</v>
      </c>
      <c r="M81">
        <v>0</v>
      </c>
      <c r="N81">
        <v>41158.763793945771</v>
      </c>
      <c r="O81">
        <v>35461.009179899353</v>
      </c>
      <c r="P81" s="53">
        <v>1</v>
      </c>
      <c r="Q81" s="53">
        <v>0.13843357012788909</v>
      </c>
      <c r="R81" s="53">
        <v>0.86156642987211085</v>
      </c>
      <c r="S81" s="53">
        <v>0.13843357012788909</v>
      </c>
      <c r="T81">
        <f t="shared" si="1"/>
        <v>5697.7546140464183</v>
      </c>
    </row>
    <row r="82" spans="2:20" x14ac:dyDescent="0.25">
      <c r="B82" t="str">
        <f>+VLOOKUP(E82,[2]id!A:B,2,0)</f>
        <v>Asalariado sector privado</v>
      </c>
      <c r="C82" t="str">
        <f>+VLOOKUP(E82,[2]id!A:C,3,0)</f>
        <v>Dependiente</v>
      </c>
      <c r="D82">
        <v>2020</v>
      </c>
      <c r="E82">
        <v>3</v>
      </c>
      <c r="F82">
        <v>4829358.3771943869</v>
      </c>
      <c r="G82">
        <v>4829358.3771943869</v>
      </c>
      <c r="H82">
        <v>0</v>
      </c>
      <c r="I82">
        <v>765347.98579522746</v>
      </c>
      <c r="J82">
        <v>4070362.3935216428</v>
      </c>
      <c r="K82">
        <v>88529.917938146784</v>
      </c>
      <c r="L82">
        <v>0</v>
      </c>
      <c r="M82">
        <v>0</v>
      </c>
      <c r="N82">
        <v>4829358.3771943869</v>
      </c>
      <c r="O82">
        <v>4158892.31145979</v>
      </c>
      <c r="P82" s="53">
        <v>1</v>
      </c>
      <c r="Q82" s="53">
        <v>0.15847819234319399</v>
      </c>
      <c r="R82" s="53">
        <v>0.86116870744140062</v>
      </c>
      <c r="S82" s="53">
        <v>0.13883129255859941</v>
      </c>
      <c r="T82">
        <f t="shared" si="1"/>
        <v>670466.06573459692</v>
      </c>
    </row>
    <row r="83" spans="2:20" x14ac:dyDescent="0.25">
      <c r="B83" t="str">
        <f>+VLOOKUP(E83,[2]id!A:B,2,0)</f>
        <v>Asalariado sector público</v>
      </c>
      <c r="C83" t="str">
        <f>+VLOOKUP(E83,[2]id!A:C,3,0)</f>
        <v>Dependiente</v>
      </c>
      <c r="D83">
        <v>2020</v>
      </c>
      <c r="E83">
        <v>4</v>
      </c>
      <c r="F83">
        <v>1159904.321159129</v>
      </c>
      <c r="G83">
        <v>1159904.321159129</v>
      </c>
      <c r="H83">
        <v>0</v>
      </c>
      <c r="I83">
        <v>153172.5013726918</v>
      </c>
      <c r="J83">
        <v>1011390.80611622</v>
      </c>
      <c r="K83">
        <v>86786.184401468287</v>
      </c>
      <c r="L83">
        <v>0</v>
      </c>
      <c r="M83">
        <v>0</v>
      </c>
      <c r="N83">
        <v>1159904.321159129</v>
      </c>
      <c r="O83">
        <v>1098176.990517688</v>
      </c>
      <c r="P83" s="53">
        <v>1</v>
      </c>
      <c r="Q83" s="53">
        <v>0.1320561520277998</v>
      </c>
      <c r="R83" s="53">
        <v>0.9467823944480569</v>
      </c>
      <c r="S83" s="53">
        <v>5.3217605551943097E-2</v>
      </c>
      <c r="T83">
        <f t="shared" si="1"/>
        <v>61727.330641441047</v>
      </c>
    </row>
    <row r="84" spans="2:20" x14ac:dyDescent="0.25">
      <c r="B84" t="str">
        <f>+VLOOKUP(E84,[2]id!A:B,2,0)</f>
        <v>No aplica</v>
      </c>
      <c r="C84" t="str">
        <f>+VLOOKUP(E84,[2]id!A:C,3,0)</f>
        <v>No aplica</v>
      </c>
      <c r="D84">
        <v>2020</v>
      </c>
      <c r="E84">
        <v>0</v>
      </c>
      <c r="F84">
        <v>7739231.4859059975</v>
      </c>
      <c r="G84">
        <v>894958.85628868197</v>
      </c>
      <c r="H84">
        <v>894958.85628868197</v>
      </c>
      <c r="I84">
        <v>0</v>
      </c>
      <c r="J84">
        <v>0</v>
      </c>
      <c r="K84">
        <v>0</v>
      </c>
      <c r="L84">
        <v>0</v>
      </c>
      <c r="M84">
        <v>0</v>
      </c>
      <c r="N84">
        <v>0</v>
      </c>
      <c r="O84">
        <v>0</v>
      </c>
      <c r="P84" s="53">
        <v>0</v>
      </c>
      <c r="Q84" s="53"/>
      <c r="R84" s="53"/>
      <c r="T84">
        <f t="shared" si="1"/>
        <v>0</v>
      </c>
    </row>
    <row r="85" spans="2:20" x14ac:dyDescent="0.25">
      <c r="B85" t="str">
        <f>+VLOOKUP(E85,[2]id!A:B,2,0)</f>
        <v>Cuenta propia</v>
      </c>
      <c r="C85" t="str">
        <f>+VLOOKUP(E85,[2]id!A:C,3,0)</f>
        <v>Independiente</v>
      </c>
      <c r="D85">
        <v>2020</v>
      </c>
      <c r="E85">
        <v>2</v>
      </c>
      <c r="F85">
        <v>1583848.172544817</v>
      </c>
      <c r="G85">
        <v>1583848.172544817</v>
      </c>
      <c r="H85">
        <v>0</v>
      </c>
      <c r="I85">
        <v>1054416.4068103761</v>
      </c>
      <c r="J85">
        <v>0</v>
      </c>
      <c r="K85">
        <v>0</v>
      </c>
      <c r="L85">
        <v>157930.4644936659</v>
      </c>
      <c r="M85">
        <v>1440.9384401818299</v>
      </c>
      <c r="N85">
        <v>1583848.172544817</v>
      </c>
      <c r="O85">
        <v>159371.40293384771</v>
      </c>
      <c r="P85" s="53">
        <v>1</v>
      </c>
      <c r="Q85" s="53">
        <v>0.66573073422575124</v>
      </c>
      <c r="R85" s="53">
        <v>0.10062290420033181</v>
      </c>
      <c r="S85" s="53">
        <v>0.89937709579966818</v>
      </c>
      <c r="T85">
        <f t="shared" si="1"/>
        <v>1424476.7696109693</v>
      </c>
    </row>
    <row r="86" spans="2:20" x14ac:dyDescent="0.25">
      <c r="B86" t="str">
        <f>+VLOOKUP(E86,[2]id!A:B,2,0)</f>
        <v>Empleador</v>
      </c>
      <c r="C86" t="str">
        <f>+VLOOKUP(E86,[2]id!A:C,3,0)</f>
        <v>Independiente</v>
      </c>
      <c r="D86">
        <v>2020</v>
      </c>
      <c r="E86">
        <v>1</v>
      </c>
      <c r="F86">
        <v>231588.62168435531</v>
      </c>
      <c r="G86">
        <v>231588.62168435531</v>
      </c>
      <c r="H86">
        <v>0</v>
      </c>
      <c r="I86">
        <v>25987.494384483602</v>
      </c>
      <c r="J86">
        <v>0</v>
      </c>
      <c r="K86">
        <v>0</v>
      </c>
      <c r="L86">
        <v>86781.459088265838</v>
      </c>
      <c r="M86">
        <v>0</v>
      </c>
      <c r="N86">
        <v>231588.62168435531</v>
      </c>
      <c r="O86">
        <v>86781.459088265838</v>
      </c>
      <c r="P86" s="53">
        <v>1</v>
      </c>
      <c r="Q86" s="53">
        <v>0.1122140379586669</v>
      </c>
      <c r="R86" s="53">
        <v>0.37472246458871811</v>
      </c>
      <c r="S86" s="53">
        <v>0.62527753541128195</v>
      </c>
      <c r="T86">
        <f t="shared" si="1"/>
        <v>144807.16259608947</v>
      </c>
    </row>
    <row r="87" spans="2:20" x14ac:dyDescent="0.25">
      <c r="B87" t="str">
        <f>+VLOOKUP(E87,[2]id!A:B,2,0)</f>
        <v>Servicio doméstico puertas afuera</v>
      </c>
      <c r="C87" t="str">
        <f>+VLOOKUP(E87,[2]id!A:C,3,0)</f>
        <v>Dependiente</v>
      </c>
      <c r="D87">
        <v>2020</v>
      </c>
      <c r="E87">
        <v>5</v>
      </c>
      <c r="F87">
        <v>150846.2670915527</v>
      </c>
      <c r="G87">
        <v>150846.2670915527</v>
      </c>
      <c r="H87">
        <v>0</v>
      </c>
      <c r="I87">
        <v>67135.245094629572</v>
      </c>
      <c r="J87">
        <v>84051.512095042912</v>
      </c>
      <c r="K87">
        <v>0</v>
      </c>
      <c r="L87">
        <v>0</v>
      </c>
      <c r="M87">
        <v>0</v>
      </c>
      <c r="N87">
        <v>150846.2670915527</v>
      </c>
      <c r="O87">
        <v>84051.512095042912</v>
      </c>
      <c r="P87" s="53">
        <v>1</v>
      </c>
      <c r="Q87" s="53">
        <v>0.44505738450845039</v>
      </c>
      <c r="R87" s="53">
        <v>0.55719981485541015</v>
      </c>
      <c r="S87" s="53">
        <v>0.44280018514458991</v>
      </c>
      <c r="T87">
        <f t="shared" si="1"/>
        <v>66794.754996509786</v>
      </c>
    </row>
    <row r="88" spans="2:20" x14ac:dyDescent="0.25">
      <c r="B88" t="str">
        <f>+VLOOKUP(E88,[2]id!A:B,2,0)</f>
        <v>Servicio doméstico puertas adentro</v>
      </c>
      <c r="C88" t="str">
        <f>+VLOOKUP(E88,[2]id!A:C,3,0)</f>
        <v>Dependiente</v>
      </c>
      <c r="D88">
        <v>2020</v>
      </c>
      <c r="E88">
        <v>6</v>
      </c>
      <c r="F88">
        <v>28460.05598450148</v>
      </c>
      <c r="G88">
        <v>28460.05598450148</v>
      </c>
      <c r="H88">
        <v>0</v>
      </c>
      <c r="I88">
        <v>7229.6947453021439</v>
      </c>
      <c r="J88">
        <v>21230.36123919933</v>
      </c>
      <c r="K88">
        <v>0</v>
      </c>
      <c r="L88">
        <v>0</v>
      </c>
      <c r="M88">
        <v>0</v>
      </c>
      <c r="N88">
        <v>28460.05598450148</v>
      </c>
      <c r="O88">
        <v>21230.36123919933</v>
      </c>
      <c r="P88" s="53">
        <v>1</v>
      </c>
      <c r="Q88" s="53">
        <v>0.25402953350616131</v>
      </c>
      <c r="R88" s="53">
        <v>0.74597046649383869</v>
      </c>
      <c r="S88" s="53">
        <v>0.25402953350616131</v>
      </c>
      <c r="T88">
        <f t="shared" si="1"/>
        <v>7229.6947453021494</v>
      </c>
    </row>
    <row r="89" spans="2:20" x14ac:dyDescent="0.25">
      <c r="B89" t="str">
        <f>+VLOOKUP(E89,[2]id!A:B,2,0)</f>
        <v>Familiar no remunerado</v>
      </c>
      <c r="C89" t="str">
        <f>+VLOOKUP(E89,[2]id!A:C,3,0)</f>
        <v>Independiente</v>
      </c>
      <c r="D89">
        <v>2020</v>
      </c>
      <c r="E89">
        <v>7</v>
      </c>
      <c r="F89">
        <v>76690.698446617738</v>
      </c>
      <c r="G89">
        <v>76690.698446617738</v>
      </c>
      <c r="H89">
        <v>0</v>
      </c>
      <c r="I89">
        <v>76690.698446617738</v>
      </c>
      <c r="J89">
        <v>0</v>
      </c>
      <c r="K89">
        <v>0</v>
      </c>
      <c r="L89">
        <v>0</v>
      </c>
      <c r="M89">
        <v>0</v>
      </c>
      <c r="N89">
        <v>76690.698446617738</v>
      </c>
      <c r="O89">
        <v>0</v>
      </c>
      <c r="P89" s="53">
        <v>1</v>
      </c>
      <c r="Q89" s="53">
        <v>1</v>
      </c>
      <c r="R89" s="53">
        <v>0</v>
      </c>
      <c r="S89" s="53">
        <v>1</v>
      </c>
      <c r="T89">
        <f t="shared" si="1"/>
        <v>76690.698446617738</v>
      </c>
    </row>
    <row r="90" spans="2:20" x14ac:dyDescent="0.25">
      <c r="B90" t="str">
        <f>+VLOOKUP(E90,[2]id!A:B,2,0)</f>
        <v>Cuenta propia</v>
      </c>
      <c r="C90" t="str">
        <f>+VLOOKUP(E90,[2]id!A:C,3,0)</f>
        <v>Independiente</v>
      </c>
      <c r="D90">
        <v>2021</v>
      </c>
      <c r="E90">
        <v>2</v>
      </c>
      <c r="F90">
        <v>1863196.788140906</v>
      </c>
      <c r="G90">
        <v>1863196.788140906</v>
      </c>
      <c r="H90">
        <v>0</v>
      </c>
      <c r="I90">
        <v>1311827.971894227</v>
      </c>
      <c r="J90">
        <v>0</v>
      </c>
      <c r="K90">
        <v>0</v>
      </c>
      <c r="L90">
        <v>187528.86114622129</v>
      </c>
      <c r="M90">
        <v>665.27581209497509</v>
      </c>
      <c r="N90">
        <v>1863196.788140906</v>
      </c>
      <c r="O90">
        <v>188194.13695831629</v>
      </c>
      <c r="P90" s="53">
        <v>1</v>
      </c>
      <c r="Q90" s="53">
        <v>0.70407376195789084</v>
      </c>
      <c r="R90" s="53">
        <v>0.1010060441044963</v>
      </c>
      <c r="S90" s="53">
        <v>0.89899395589550368</v>
      </c>
      <c r="T90">
        <f t="shared" ref="T90:T121" si="2">+N90-O90</f>
        <v>1675002.6511825898</v>
      </c>
    </row>
    <row r="91" spans="2:20" x14ac:dyDescent="0.25">
      <c r="B91" t="str">
        <f>+VLOOKUP(E91,[2]id!A:B,2,0)</f>
        <v>Asalariado sector privado</v>
      </c>
      <c r="C91" t="str">
        <f>+VLOOKUP(E91,[2]id!A:C,3,0)</f>
        <v>Dependiente</v>
      </c>
      <c r="D91">
        <v>2021</v>
      </c>
      <c r="E91">
        <v>3</v>
      </c>
      <c r="F91">
        <v>5155465.0104162944</v>
      </c>
      <c r="G91">
        <v>5155465.0104162944</v>
      </c>
      <c r="H91">
        <v>0</v>
      </c>
      <c r="I91">
        <v>752045.5925833158</v>
      </c>
      <c r="J91">
        <v>4411899.2592279641</v>
      </c>
      <c r="K91">
        <v>100153.0668398931</v>
      </c>
      <c r="L91">
        <v>0</v>
      </c>
      <c r="M91">
        <v>0</v>
      </c>
      <c r="N91">
        <v>5155465.0104162944</v>
      </c>
      <c r="O91">
        <v>4512052.3260678574</v>
      </c>
      <c r="P91" s="53">
        <v>1</v>
      </c>
      <c r="Q91" s="53">
        <v>0.14587347427707389</v>
      </c>
      <c r="R91" s="53">
        <v>0.87519793402758794</v>
      </c>
      <c r="S91" s="53">
        <v>0.1248020659724121</v>
      </c>
      <c r="T91">
        <f t="shared" si="2"/>
        <v>643412.684348437</v>
      </c>
    </row>
    <row r="92" spans="2:20" x14ac:dyDescent="0.25">
      <c r="B92" t="str">
        <f>+VLOOKUP(E92,[2]id!A:B,2,0)</f>
        <v>No aplica</v>
      </c>
      <c r="C92" t="str">
        <f>+VLOOKUP(E92,[2]id!A:C,3,0)</f>
        <v>No aplica</v>
      </c>
      <c r="D92">
        <v>2021</v>
      </c>
      <c r="E92">
        <v>0</v>
      </c>
      <c r="F92">
        <v>7270497.1425370006</v>
      </c>
      <c r="G92">
        <v>651339.92684804904</v>
      </c>
      <c r="H92">
        <v>651339.92684804904</v>
      </c>
      <c r="I92">
        <v>0</v>
      </c>
      <c r="J92">
        <v>0</v>
      </c>
      <c r="K92">
        <v>0</v>
      </c>
      <c r="L92">
        <v>0</v>
      </c>
      <c r="M92">
        <v>0</v>
      </c>
      <c r="N92">
        <v>0</v>
      </c>
      <c r="O92">
        <v>0</v>
      </c>
      <c r="P92" s="53">
        <v>0</v>
      </c>
      <c r="Q92" s="53"/>
      <c r="R92" s="53"/>
      <c r="T92">
        <f t="shared" si="2"/>
        <v>0</v>
      </c>
    </row>
    <row r="93" spans="2:20" x14ac:dyDescent="0.25">
      <c r="B93" t="str">
        <f>+VLOOKUP(E93,[2]id!A:B,2,0)</f>
        <v>Asalariado sector público</v>
      </c>
      <c r="C93" t="str">
        <f>+VLOOKUP(E93,[2]id!A:C,3,0)</f>
        <v>Dependiente</v>
      </c>
      <c r="D93">
        <v>2021</v>
      </c>
      <c r="E93">
        <v>4</v>
      </c>
      <c r="F93">
        <v>1124407.098754172</v>
      </c>
      <c r="G93">
        <v>1124407.098754172</v>
      </c>
      <c r="H93">
        <v>0</v>
      </c>
      <c r="I93">
        <v>153335.98763734591</v>
      </c>
      <c r="J93">
        <v>974715.19479367964</v>
      </c>
      <c r="K93">
        <v>93420.518556429874</v>
      </c>
      <c r="L93">
        <v>0</v>
      </c>
      <c r="M93">
        <v>0</v>
      </c>
      <c r="N93">
        <v>1124407.098754172</v>
      </c>
      <c r="O93">
        <v>1068135.71335011</v>
      </c>
      <c r="P93" s="53">
        <v>1</v>
      </c>
      <c r="Q93" s="53">
        <v>0.13637052612638259</v>
      </c>
      <c r="R93" s="53">
        <v>0.94995461566686112</v>
      </c>
      <c r="S93" s="53">
        <v>5.0045384333138883E-2</v>
      </c>
      <c r="T93">
        <f t="shared" si="2"/>
        <v>56271.385404061992</v>
      </c>
    </row>
    <row r="94" spans="2:20" x14ac:dyDescent="0.25">
      <c r="B94" t="str">
        <f>+VLOOKUP(E94,[2]id!A:B,2,0)</f>
        <v>Empleador</v>
      </c>
      <c r="C94" t="str">
        <f>+VLOOKUP(E94,[2]id!A:C,3,0)</f>
        <v>Independiente</v>
      </c>
      <c r="D94">
        <v>2021</v>
      </c>
      <c r="E94">
        <v>1</v>
      </c>
      <c r="F94">
        <v>285244.1495403772</v>
      </c>
      <c r="G94">
        <v>285244.1495403772</v>
      </c>
      <c r="H94">
        <v>0</v>
      </c>
      <c r="I94">
        <v>41979.464349356953</v>
      </c>
      <c r="J94">
        <v>0</v>
      </c>
      <c r="K94">
        <v>0</v>
      </c>
      <c r="L94">
        <v>125508.23025005699</v>
      </c>
      <c r="M94">
        <v>0</v>
      </c>
      <c r="N94">
        <v>285244.1495403772</v>
      </c>
      <c r="O94">
        <v>125508.23025005699</v>
      </c>
      <c r="P94" s="53">
        <v>1</v>
      </c>
      <c r="Q94" s="53">
        <v>0.14717029049324859</v>
      </c>
      <c r="R94" s="53">
        <v>0.44000282022363058</v>
      </c>
      <c r="S94" s="53">
        <v>0.55999717977636942</v>
      </c>
      <c r="T94">
        <f t="shared" si="2"/>
        <v>159735.91929032019</v>
      </c>
    </row>
    <row r="95" spans="2:20" x14ac:dyDescent="0.25">
      <c r="B95" t="str">
        <f>+VLOOKUP(E95,[2]id!A:B,2,0)</f>
        <v>Servicio doméstico puertas afuera</v>
      </c>
      <c r="C95" t="str">
        <f>+VLOOKUP(E95,[2]id!A:C,3,0)</f>
        <v>Dependiente</v>
      </c>
      <c r="D95">
        <v>2021</v>
      </c>
      <c r="E95">
        <v>5</v>
      </c>
      <c r="F95">
        <v>188176.45776137279</v>
      </c>
      <c r="G95">
        <v>188176.45776137279</v>
      </c>
      <c r="H95">
        <v>0</v>
      </c>
      <c r="I95">
        <v>103377.907659409</v>
      </c>
      <c r="J95">
        <v>84931.127954527881</v>
      </c>
      <c r="K95">
        <v>310.70778244130781</v>
      </c>
      <c r="L95">
        <v>0</v>
      </c>
      <c r="M95">
        <v>0</v>
      </c>
      <c r="N95">
        <v>188176.45776137279</v>
      </c>
      <c r="O95">
        <v>85241.835736969195</v>
      </c>
      <c r="P95" s="53">
        <v>1</v>
      </c>
      <c r="Q95" s="53">
        <v>0.5493668490162722</v>
      </c>
      <c r="R95" s="53">
        <v>0.45298884223373281</v>
      </c>
      <c r="S95" s="53">
        <v>0.54701115776626719</v>
      </c>
      <c r="T95">
        <f t="shared" si="2"/>
        <v>102934.62202440359</v>
      </c>
    </row>
    <row r="96" spans="2:20" x14ac:dyDescent="0.25">
      <c r="B96" t="str">
        <f>+VLOOKUP(E96,[2]id!A:B,2,0)</f>
        <v>Servicio doméstico puertas adentro</v>
      </c>
      <c r="C96" t="str">
        <f>+VLOOKUP(E96,[2]id!A:C,3,0)</f>
        <v>Dependiente</v>
      </c>
      <c r="D96">
        <v>2021</v>
      </c>
      <c r="E96">
        <v>6</v>
      </c>
      <c r="F96">
        <v>24748.231435099591</v>
      </c>
      <c r="G96">
        <v>24748.231435099591</v>
      </c>
      <c r="H96">
        <v>0</v>
      </c>
      <c r="I96">
        <v>5574.4138325137264</v>
      </c>
      <c r="J96">
        <v>19353.15202282662</v>
      </c>
      <c r="K96">
        <v>0</v>
      </c>
      <c r="L96">
        <v>0</v>
      </c>
      <c r="M96">
        <v>0</v>
      </c>
      <c r="N96">
        <v>24748.231435099591</v>
      </c>
      <c r="O96">
        <v>19353.15202282662</v>
      </c>
      <c r="P96" s="53">
        <v>1</v>
      </c>
      <c r="Q96" s="53">
        <v>0.2252449370829675</v>
      </c>
      <c r="R96" s="53">
        <v>0.78200141588213379</v>
      </c>
      <c r="S96" s="53">
        <v>0.21799858411786621</v>
      </c>
      <c r="T96">
        <f t="shared" si="2"/>
        <v>5395.0794122729712</v>
      </c>
    </row>
    <row r="97" spans="2:20" x14ac:dyDescent="0.25">
      <c r="B97" t="str">
        <f>+VLOOKUP(E97,[2]id!A:B,2,0)</f>
        <v>Familiar no remunerado</v>
      </c>
      <c r="C97" t="str">
        <f>+VLOOKUP(E97,[2]id!A:C,3,0)</f>
        <v>Independiente</v>
      </c>
      <c r="D97">
        <v>2021</v>
      </c>
      <c r="E97">
        <v>7</v>
      </c>
      <c r="F97">
        <v>79697.121414974361</v>
      </c>
      <c r="G97">
        <v>79697.121414974361</v>
      </c>
      <c r="H97">
        <v>0</v>
      </c>
      <c r="I97">
        <v>79697.121414974361</v>
      </c>
      <c r="J97">
        <v>0</v>
      </c>
      <c r="K97">
        <v>0</v>
      </c>
      <c r="L97">
        <v>0</v>
      </c>
      <c r="M97">
        <v>0</v>
      </c>
      <c r="N97">
        <v>79697.121414974361</v>
      </c>
      <c r="O97">
        <v>0</v>
      </c>
      <c r="P97" s="53">
        <v>1</v>
      </c>
      <c r="Q97" s="53">
        <v>1</v>
      </c>
      <c r="R97" s="53">
        <v>0</v>
      </c>
      <c r="S97" s="53">
        <v>1</v>
      </c>
      <c r="T97">
        <f t="shared" si="2"/>
        <v>79697.121414974361</v>
      </c>
    </row>
    <row r="98" spans="2:20" x14ac:dyDescent="0.25">
      <c r="B98" t="str">
        <f>+VLOOKUP(E98,[2]id!A:B,2,0)</f>
        <v>Asalariado sector público</v>
      </c>
      <c r="C98" t="str">
        <f>+VLOOKUP(E98,[2]id!A:C,3,0)</f>
        <v>Dependiente</v>
      </c>
      <c r="D98">
        <v>2022</v>
      </c>
      <c r="E98">
        <v>4</v>
      </c>
      <c r="F98">
        <v>1134281.033815661</v>
      </c>
      <c r="G98">
        <v>1134281.033815661</v>
      </c>
      <c r="H98">
        <v>0</v>
      </c>
      <c r="I98">
        <v>148965.33247559619</v>
      </c>
      <c r="J98">
        <v>988628.44790964876</v>
      </c>
      <c r="K98">
        <v>93309.060314372138</v>
      </c>
      <c r="L98">
        <v>0</v>
      </c>
      <c r="M98">
        <v>0</v>
      </c>
      <c r="N98">
        <v>1134281.033815661</v>
      </c>
      <c r="O98">
        <v>1081937.5082240209</v>
      </c>
      <c r="P98" s="53">
        <v>1</v>
      </c>
      <c r="Q98" s="53">
        <v>0.13133018011813599</v>
      </c>
      <c r="R98" s="53">
        <v>0.9538531245510129</v>
      </c>
      <c r="S98" s="53">
        <v>4.6146875448987101E-2</v>
      </c>
      <c r="T98">
        <f t="shared" si="2"/>
        <v>52343.525591640035</v>
      </c>
    </row>
    <row r="99" spans="2:20" x14ac:dyDescent="0.25">
      <c r="B99" t="str">
        <f>+VLOOKUP(E99,[2]id!A:B,2,0)</f>
        <v>No aplica</v>
      </c>
      <c r="C99" t="str">
        <f>+VLOOKUP(E99,[2]id!A:C,3,0)</f>
        <v>No aplica</v>
      </c>
      <c r="D99">
        <v>2022</v>
      </c>
      <c r="E99">
        <v>0</v>
      </c>
      <c r="F99">
        <v>7149058.5183321042</v>
      </c>
      <c r="G99">
        <v>745386.99906505318</v>
      </c>
      <c r="H99">
        <v>745386.99906505318</v>
      </c>
      <c r="I99">
        <v>0</v>
      </c>
      <c r="J99">
        <v>0</v>
      </c>
      <c r="K99">
        <v>0</v>
      </c>
      <c r="L99">
        <v>0</v>
      </c>
      <c r="M99">
        <v>0</v>
      </c>
      <c r="N99">
        <v>0</v>
      </c>
      <c r="O99">
        <v>0</v>
      </c>
      <c r="P99" s="53">
        <v>0</v>
      </c>
      <c r="Q99" s="53"/>
      <c r="R99" s="53"/>
      <c r="T99">
        <f t="shared" si="2"/>
        <v>0</v>
      </c>
    </row>
    <row r="100" spans="2:20" x14ac:dyDescent="0.25">
      <c r="B100" t="str">
        <f>+VLOOKUP(E100,[2]id!A:B,2,0)</f>
        <v>Asalariado sector privado</v>
      </c>
      <c r="C100" t="str">
        <f>+VLOOKUP(E100,[2]id!A:C,3,0)</f>
        <v>Dependiente</v>
      </c>
      <c r="D100">
        <v>2022</v>
      </c>
      <c r="E100">
        <v>3</v>
      </c>
      <c r="F100">
        <v>5458132.2148160907</v>
      </c>
      <c r="G100">
        <v>5458132.2148160907</v>
      </c>
      <c r="H100">
        <v>0</v>
      </c>
      <c r="I100">
        <v>820053.88011218014</v>
      </c>
      <c r="J100">
        <v>4648282.3691643234</v>
      </c>
      <c r="K100">
        <v>95201.346588416374</v>
      </c>
      <c r="L100">
        <v>0</v>
      </c>
      <c r="M100">
        <v>0</v>
      </c>
      <c r="N100">
        <v>5458132.2148160907</v>
      </c>
      <c r="O100">
        <v>4743483.7157527395</v>
      </c>
      <c r="P100" s="53">
        <v>1</v>
      </c>
      <c r="Q100" s="53">
        <v>0.15024441472600189</v>
      </c>
      <c r="R100" s="53">
        <v>0.86906720633783108</v>
      </c>
      <c r="S100" s="53">
        <v>0.13093279366216889</v>
      </c>
      <c r="T100">
        <f t="shared" si="2"/>
        <v>714648.49906335119</v>
      </c>
    </row>
    <row r="101" spans="2:20" x14ac:dyDescent="0.25">
      <c r="B101" t="str">
        <f>+VLOOKUP(E101,[2]id!A:B,2,0)</f>
        <v>Servicio doméstico puertas afuera</v>
      </c>
      <c r="C101" t="str">
        <f>+VLOOKUP(E101,[2]id!A:C,3,0)</f>
        <v>Dependiente</v>
      </c>
      <c r="D101">
        <v>2022</v>
      </c>
      <c r="E101">
        <v>5</v>
      </c>
      <c r="F101">
        <v>222022.81026921701</v>
      </c>
      <c r="G101">
        <v>222022.81026921701</v>
      </c>
      <c r="H101">
        <v>0</v>
      </c>
      <c r="I101">
        <v>123992.6338293607</v>
      </c>
      <c r="J101">
        <v>98834.762784703402</v>
      </c>
      <c r="K101">
        <v>575.92811363227497</v>
      </c>
      <c r="L101">
        <v>0</v>
      </c>
      <c r="M101">
        <v>0</v>
      </c>
      <c r="N101">
        <v>222022.81026921701</v>
      </c>
      <c r="O101">
        <v>99410.69089833567</v>
      </c>
      <c r="P101" s="53">
        <v>1</v>
      </c>
      <c r="Q101" s="53">
        <v>0.55846799560374738</v>
      </c>
      <c r="R101" s="53">
        <v>0.44774989911078861</v>
      </c>
      <c r="S101" s="53">
        <v>0.55225010088921134</v>
      </c>
      <c r="T101">
        <f t="shared" si="2"/>
        <v>122612.11937088134</v>
      </c>
    </row>
    <row r="102" spans="2:20" x14ac:dyDescent="0.25">
      <c r="B102" t="str">
        <f>+VLOOKUP(E102,[2]id!A:B,2,0)</f>
        <v>Cuenta propia</v>
      </c>
      <c r="C102" t="str">
        <f>+VLOOKUP(E102,[2]id!A:C,3,0)</f>
        <v>Independiente</v>
      </c>
      <c r="D102">
        <v>2022</v>
      </c>
      <c r="E102">
        <v>2</v>
      </c>
      <c r="F102">
        <v>1808210.958781874</v>
      </c>
      <c r="G102">
        <v>1808210.958781874</v>
      </c>
      <c r="H102">
        <v>0</v>
      </c>
      <c r="I102">
        <v>1227206.697765047</v>
      </c>
      <c r="J102">
        <v>0</v>
      </c>
      <c r="K102">
        <v>0</v>
      </c>
      <c r="L102">
        <v>196284.59797549181</v>
      </c>
      <c r="M102">
        <v>2395.4198917375311</v>
      </c>
      <c r="N102">
        <v>1808210.958781874</v>
      </c>
      <c r="O102">
        <v>198680.0178672293</v>
      </c>
      <c r="P102" s="53">
        <v>1</v>
      </c>
      <c r="Q102" s="53">
        <v>0.6786855769261414</v>
      </c>
      <c r="R102" s="53">
        <v>0.1098765699335618</v>
      </c>
      <c r="S102" s="53">
        <v>0.89012343006643824</v>
      </c>
      <c r="T102">
        <f t="shared" si="2"/>
        <v>1609530.9409146449</v>
      </c>
    </row>
    <row r="103" spans="2:20" x14ac:dyDescent="0.25">
      <c r="B103" t="str">
        <f>+VLOOKUP(E103,[2]id!A:B,2,0)</f>
        <v>Empleador</v>
      </c>
      <c r="C103" t="str">
        <f>+VLOOKUP(E103,[2]id!A:C,3,0)</f>
        <v>Independiente</v>
      </c>
      <c r="D103">
        <v>2022</v>
      </c>
      <c r="E103">
        <v>1</v>
      </c>
      <c r="F103">
        <v>287727.56266573613</v>
      </c>
      <c r="G103">
        <v>287727.56266573613</v>
      </c>
      <c r="H103">
        <v>0</v>
      </c>
      <c r="I103">
        <v>42960.934162109566</v>
      </c>
      <c r="J103">
        <v>0</v>
      </c>
      <c r="K103">
        <v>0</v>
      </c>
      <c r="L103">
        <v>127658.1762857093</v>
      </c>
      <c r="M103">
        <v>0</v>
      </c>
      <c r="N103">
        <v>287727.56266573613</v>
      </c>
      <c r="O103">
        <v>127658.1762857093</v>
      </c>
      <c r="P103" s="53">
        <v>1</v>
      </c>
      <c r="Q103" s="53">
        <v>0.14931115310638099</v>
      </c>
      <c r="R103" s="53">
        <v>0.44367725880337222</v>
      </c>
      <c r="S103" s="53">
        <v>0.55632274119662783</v>
      </c>
      <c r="T103">
        <f t="shared" si="2"/>
        <v>160069.38638002682</v>
      </c>
    </row>
    <row r="104" spans="2:20" x14ac:dyDescent="0.25">
      <c r="B104" t="str">
        <f>+VLOOKUP(E104,[2]id!A:B,2,0)</f>
        <v>Familiar no remunerado</v>
      </c>
      <c r="C104" t="str">
        <f>+VLOOKUP(E104,[2]id!A:C,3,0)</f>
        <v>Independiente</v>
      </c>
      <c r="D104">
        <v>2022</v>
      </c>
      <c r="E104">
        <v>7</v>
      </c>
      <c r="F104">
        <v>67463.586012399595</v>
      </c>
      <c r="G104">
        <v>67463.586012399595</v>
      </c>
      <c r="H104">
        <v>0</v>
      </c>
      <c r="I104">
        <v>67463.586012399595</v>
      </c>
      <c r="J104">
        <v>0</v>
      </c>
      <c r="K104">
        <v>0</v>
      </c>
      <c r="L104">
        <v>0</v>
      </c>
      <c r="M104">
        <v>0</v>
      </c>
      <c r="N104">
        <v>67463.586012399595</v>
      </c>
      <c r="O104">
        <v>0</v>
      </c>
      <c r="P104" s="53">
        <v>1</v>
      </c>
      <c r="Q104" s="53">
        <v>1</v>
      </c>
      <c r="R104" s="53">
        <v>0</v>
      </c>
      <c r="S104" s="53">
        <v>1</v>
      </c>
      <c r="T104">
        <f t="shared" si="2"/>
        <v>67463.586012399595</v>
      </c>
    </row>
    <row r="105" spans="2:20" x14ac:dyDescent="0.25">
      <c r="B105" t="str">
        <f>+VLOOKUP(E105,[2]id!A:B,2,0)</f>
        <v>Servicio doméstico puertas adentro</v>
      </c>
      <c r="C105" t="str">
        <f>+VLOOKUP(E105,[2]id!A:C,3,0)</f>
        <v>Dependiente</v>
      </c>
      <c r="D105">
        <v>2022</v>
      </c>
      <c r="E105">
        <v>6</v>
      </c>
      <c r="F105">
        <v>17988.315307054821</v>
      </c>
      <c r="G105">
        <v>17988.315307054821</v>
      </c>
      <c r="H105">
        <v>0</v>
      </c>
      <c r="I105">
        <v>2538.357412465909</v>
      </c>
      <c r="J105">
        <v>15449.95789458891</v>
      </c>
      <c r="K105">
        <v>168.2446047868961</v>
      </c>
      <c r="L105">
        <v>0</v>
      </c>
      <c r="M105">
        <v>0</v>
      </c>
      <c r="N105">
        <v>17988.315307054821</v>
      </c>
      <c r="O105">
        <v>15618.20249937581</v>
      </c>
      <c r="P105" s="53">
        <v>1</v>
      </c>
      <c r="Q105" s="53">
        <v>0.14111145869621231</v>
      </c>
      <c r="R105" s="53">
        <v>0.86824153528432535</v>
      </c>
      <c r="S105" s="53">
        <v>0.13175846471567471</v>
      </c>
      <c r="T105">
        <f t="shared" si="2"/>
        <v>2370.1128076790119</v>
      </c>
    </row>
    <row r="106" spans="2:20" x14ac:dyDescent="0.25">
      <c r="B106" t="s">
        <v>5</v>
      </c>
      <c r="C106" t="s">
        <v>5</v>
      </c>
      <c r="D106">
        <v>2013</v>
      </c>
      <c r="E106" t="s">
        <v>5</v>
      </c>
      <c r="F106">
        <f t="shared" ref="F106:O115" si="3">+SUMIFS(F$26:F$105,$D$26:$D$105,$D106)</f>
        <v>13970560.001285877</v>
      </c>
      <c r="G106">
        <f t="shared" si="3"/>
        <v>8659081.2991584167</v>
      </c>
      <c r="H106">
        <f t="shared" si="3"/>
        <v>490069.22612084931</v>
      </c>
      <c r="I106">
        <f t="shared" si="3"/>
        <v>0</v>
      </c>
      <c r="J106">
        <f t="shared" si="3"/>
        <v>5064455.9217174547</v>
      </c>
      <c r="K106">
        <f t="shared" si="3"/>
        <v>0</v>
      </c>
      <c r="L106">
        <f t="shared" si="3"/>
        <v>302513.06617387896</v>
      </c>
      <c r="M106">
        <f t="shared" si="3"/>
        <v>0</v>
      </c>
      <c r="N106">
        <f t="shared" si="3"/>
        <v>8169012.0730375675</v>
      </c>
      <c r="O106">
        <f t="shared" si="3"/>
        <v>5366968.9878913332</v>
      </c>
      <c r="Q106" s="53">
        <f t="shared" ref="Q106:Q135" si="4">+I106/N106</f>
        <v>0</v>
      </c>
      <c r="R106" s="53">
        <f t="shared" ref="R106:R135" si="5">+O106/N106</f>
        <v>0.65699119304835085</v>
      </c>
      <c r="S106" s="53">
        <f t="shared" ref="S106:S135" si="6">1-R106</f>
        <v>0.34300880695164915</v>
      </c>
      <c r="T106">
        <f t="shared" si="2"/>
        <v>2802043.0851462344</v>
      </c>
    </row>
    <row r="107" spans="2:20" x14ac:dyDescent="0.25">
      <c r="B107" t="s">
        <v>5</v>
      </c>
      <c r="C107" t="s">
        <v>5</v>
      </c>
      <c r="D107">
        <v>2014</v>
      </c>
      <c r="E107" t="s">
        <v>5</v>
      </c>
      <c r="F107">
        <f t="shared" si="3"/>
        <v>14158925.000000462</v>
      </c>
      <c r="G107">
        <f t="shared" si="3"/>
        <v>8784817.4591541719</v>
      </c>
      <c r="H107">
        <f t="shared" si="3"/>
        <v>530134.50039564958</v>
      </c>
      <c r="I107">
        <f t="shared" si="3"/>
        <v>0</v>
      </c>
      <c r="J107">
        <f t="shared" si="3"/>
        <v>5036778.7354674563</v>
      </c>
      <c r="K107">
        <f t="shared" si="3"/>
        <v>0</v>
      </c>
      <c r="L107">
        <f t="shared" si="3"/>
        <v>293148.37372878962</v>
      </c>
      <c r="M107">
        <f t="shared" si="3"/>
        <v>0</v>
      </c>
      <c r="N107">
        <f t="shared" si="3"/>
        <v>8254682.9587585228</v>
      </c>
      <c r="O107">
        <f t="shared" si="3"/>
        <v>5329927.1091962457</v>
      </c>
      <c r="Q107" s="53">
        <f t="shared" si="4"/>
        <v>0</v>
      </c>
      <c r="R107" s="53">
        <f t="shared" si="5"/>
        <v>0.64568525960660872</v>
      </c>
      <c r="S107" s="53">
        <f t="shared" si="6"/>
        <v>0.35431474039339128</v>
      </c>
      <c r="T107">
        <f t="shared" si="2"/>
        <v>2924755.8495622771</v>
      </c>
    </row>
    <row r="108" spans="2:20" x14ac:dyDescent="0.25">
      <c r="B108" t="s">
        <v>5</v>
      </c>
      <c r="C108" t="s">
        <v>5</v>
      </c>
      <c r="D108">
        <v>2015</v>
      </c>
      <c r="E108" t="s">
        <v>5</v>
      </c>
      <c r="F108">
        <f t="shared" si="3"/>
        <v>14350092.002292996</v>
      </c>
      <c r="G108">
        <f t="shared" si="3"/>
        <v>8950267.6861505564</v>
      </c>
      <c r="H108">
        <f t="shared" si="3"/>
        <v>511712.49204606027</v>
      </c>
      <c r="I108">
        <f t="shared" si="3"/>
        <v>0</v>
      </c>
      <c r="J108">
        <f t="shared" si="3"/>
        <v>5159966.2638179353</v>
      </c>
      <c r="K108">
        <f t="shared" si="3"/>
        <v>0</v>
      </c>
      <c r="L108">
        <f t="shared" si="3"/>
        <v>312493.22000844131</v>
      </c>
      <c r="M108">
        <f t="shared" si="3"/>
        <v>0</v>
      </c>
      <c r="N108">
        <f t="shared" si="3"/>
        <v>8438555.1941044964</v>
      </c>
      <c r="O108">
        <f t="shared" si="3"/>
        <v>5472459.4838263765</v>
      </c>
      <c r="Q108" s="53">
        <f t="shared" si="4"/>
        <v>0</v>
      </c>
      <c r="R108" s="53">
        <f t="shared" si="5"/>
        <v>0.64850668840202053</v>
      </c>
      <c r="S108" s="53">
        <f t="shared" si="6"/>
        <v>0.35149331159797947</v>
      </c>
      <c r="T108">
        <f t="shared" si="2"/>
        <v>2966095.7102781199</v>
      </c>
    </row>
    <row r="109" spans="2:20" x14ac:dyDescent="0.25">
      <c r="B109" t="s">
        <v>5</v>
      </c>
      <c r="C109" t="s">
        <v>5</v>
      </c>
      <c r="D109">
        <v>2016</v>
      </c>
      <c r="E109" t="s">
        <v>5</v>
      </c>
      <c r="F109">
        <f t="shared" si="3"/>
        <v>14570045.000000102</v>
      </c>
      <c r="G109">
        <f t="shared" si="3"/>
        <v>9094656.6561932992</v>
      </c>
      <c r="H109">
        <f t="shared" si="3"/>
        <v>549436.71111493791</v>
      </c>
      <c r="I109">
        <f t="shared" si="3"/>
        <v>0</v>
      </c>
      <c r="J109">
        <f t="shared" si="3"/>
        <v>5156139.1309734788</v>
      </c>
      <c r="K109">
        <f t="shared" si="3"/>
        <v>0</v>
      </c>
      <c r="L109">
        <f t="shared" si="3"/>
        <v>327747.4761885475</v>
      </c>
      <c r="M109">
        <f t="shared" si="3"/>
        <v>0</v>
      </c>
      <c r="N109">
        <f t="shared" si="3"/>
        <v>8545219.9450783618</v>
      </c>
      <c r="O109">
        <f t="shared" si="3"/>
        <v>5483886.6071620267</v>
      </c>
      <c r="Q109" s="53">
        <f t="shared" si="4"/>
        <v>0</v>
      </c>
      <c r="R109" s="53">
        <f t="shared" si="5"/>
        <v>0.64174902956365487</v>
      </c>
      <c r="S109" s="53">
        <f t="shared" si="6"/>
        <v>0.35825097043634513</v>
      </c>
      <c r="T109">
        <f t="shared" si="2"/>
        <v>3061333.3379163351</v>
      </c>
    </row>
    <row r="110" spans="2:20" x14ac:dyDescent="0.25">
      <c r="B110" t="s">
        <v>5</v>
      </c>
      <c r="C110" t="s">
        <v>5</v>
      </c>
      <c r="D110">
        <v>2017</v>
      </c>
      <c r="E110" t="s">
        <v>5</v>
      </c>
      <c r="F110">
        <f t="shared" si="3"/>
        <v>14851798.000061182</v>
      </c>
      <c r="G110">
        <f t="shared" si="3"/>
        <v>9400302.5300054718</v>
      </c>
      <c r="H110">
        <f t="shared" si="3"/>
        <v>611646.78912147437</v>
      </c>
      <c r="I110">
        <f t="shared" si="3"/>
        <v>2517765.0828161021</v>
      </c>
      <c r="J110">
        <f t="shared" si="3"/>
        <v>5223125.4583389126</v>
      </c>
      <c r="K110">
        <f t="shared" si="3"/>
        <v>0</v>
      </c>
      <c r="L110">
        <f t="shared" si="3"/>
        <v>364188.73916201445</v>
      </c>
      <c r="M110">
        <f t="shared" si="3"/>
        <v>1751.6961513873287</v>
      </c>
      <c r="N110">
        <f t="shared" si="3"/>
        <v>8788655.7408839986</v>
      </c>
      <c r="O110">
        <f t="shared" si="3"/>
        <v>5589065.8936523134</v>
      </c>
      <c r="Q110" s="53">
        <f t="shared" si="4"/>
        <v>0.28647897437872055</v>
      </c>
      <c r="R110" s="53">
        <f t="shared" si="5"/>
        <v>0.63594092867382501</v>
      </c>
      <c r="S110" s="53">
        <f t="shared" si="6"/>
        <v>0.36405907132617499</v>
      </c>
      <c r="T110">
        <f t="shared" si="2"/>
        <v>3199589.8472316852</v>
      </c>
    </row>
    <row r="111" spans="2:20" x14ac:dyDescent="0.25">
      <c r="B111" t="s">
        <v>5</v>
      </c>
      <c r="C111" t="s">
        <v>5</v>
      </c>
      <c r="D111">
        <v>2018</v>
      </c>
      <c r="E111" t="s">
        <v>5</v>
      </c>
      <c r="F111">
        <f t="shared" si="3"/>
        <v>15182093.000000069</v>
      </c>
      <c r="G111">
        <f t="shared" si="3"/>
        <v>9634320.4387104418</v>
      </c>
      <c r="H111">
        <f t="shared" si="3"/>
        <v>678820.99608842819</v>
      </c>
      <c r="I111">
        <f t="shared" si="3"/>
        <v>2549610.4071057914</v>
      </c>
      <c r="J111">
        <f t="shared" si="3"/>
        <v>5400976.7966149319</v>
      </c>
      <c r="K111">
        <f t="shared" si="3"/>
        <v>0</v>
      </c>
      <c r="L111">
        <f t="shared" si="3"/>
        <v>377338.80297011859</v>
      </c>
      <c r="M111">
        <f t="shared" si="3"/>
        <v>1331.758290754465</v>
      </c>
      <c r="N111">
        <f t="shared" si="3"/>
        <v>8955499.4426220134</v>
      </c>
      <c r="O111">
        <f t="shared" si="3"/>
        <v>5779647.3578758053</v>
      </c>
      <c r="Q111" s="53">
        <f t="shared" si="4"/>
        <v>0.2846977349997255</v>
      </c>
      <c r="R111" s="53">
        <f t="shared" si="5"/>
        <v>0.64537409609660201</v>
      </c>
      <c r="S111" s="53">
        <f t="shared" si="6"/>
        <v>0.35462590390339799</v>
      </c>
      <c r="T111">
        <f t="shared" si="2"/>
        <v>3175852.084746208</v>
      </c>
    </row>
    <row r="112" spans="2:20" x14ac:dyDescent="0.25">
      <c r="B112" t="s">
        <v>5</v>
      </c>
      <c r="C112" t="s">
        <v>5</v>
      </c>
      <c r="D112">
        <v>2019</v>
      </c>
      <c r="E112" t="s">
        <v>5</v>
      </c>
      <c r="F112">
        <f t="shared" si="3"/>
        <v>15515853.0197898</v>
      </c>
      <c r="G112">
        <f t="shared" si="3"/>
        <v>9808370.9407537784</v>
      </c>
      <c r="H112">
        <f t="shared" si="3"/>
        <v>668326.77891817514</v>
      </c>
      <c r="I112">
        <f t="shared" si="3"/>
        <v>2580723.8505197274</v>
      </c>
      <c r="J112">
        <f t="shared" si="3"/>
        <v>5541090.5369144818</v>
      </c>
      <c r="K112">
        <f t="shared" si="3"/>
        <v>219305.92312151397</v>
      </c>
      <c r="L112">
        <f t="shared" si="3"/>
        <v>340011.10901801259</v>
      </c>
      <c r="M112">
        <f t="shared" si="3"/>
        <v>2683.0840130705219</v>
      </c>
      <c r="N112">
        <f t="shared" si="3"/>
        <v>9140044.1618356034</v>
      </c>
      <c r="O112">
        <f t="shared" si="3"/>
        <v>6103090.6530670794</v>
      </c>
      <c r="Q112" s="53">
        <f t="shared" si="4"/>
        <v>0.28235354280842317</v>
      </c>
      <c r="R112" s="53">
        <f t="shared" si="5"/>
        <v>0.66773098083602589</v>
      </c>
      <c r="S112" s="53">
        <f t="shared" si="6"/>
        <v>0.33226901916397411</v>
      </c>
      <c r="T112">
        <f t="shared" si="2"/>
        <v>3036953.508768524</v>
      </c>
    </row>
    <row r="113" spans="2:20" x14ac:dyDescent="0.25">
      <c r="B113" t="s">
        <v>5</v>
      </c>
      <c r="C113" t="s">
        <v>5</v>
      </c>
      <c r="D113">
        <v>2020</v>
      </c>
      <c r="E113" t="s">
        <v>5</v>
      </c>
      <c r="F113">
        <f t="shared" si="3"/>
        <v>15799928.000011357</v>
      </c>
      <c r="G113">
        <f t="shared" si="3"/>
        <v>8955655.3703940418</v>
      </c>
      <c r="H113">
        <f t="shared" si="3"/>
        <v>894958.85628868197</v>
      </c>
      <c r="I113">
        <f t="shared" si="3"/>
        <v>2149980.0266493284</v>
      </c>
      <c r="J113">
        <f t="shared" si="3"/>
        <v>5187035.0729721049</v>
      </c>
      <c r="K113">
        <f t="shared" si="3"/>
        <v>175316.10233961506</v>
      </c>
      <c r="L113">
        <f t="shared" si="3"/>
        <v>244711.92358193174</v>
      </c>
      <c r="M113">
        <f t="shared" si="3"/>
        <v>1440.9384401818299</v>
      </c>
      <c r="N113">
        <f t="shared" si="3"/>
        <v>8060696.51410536</v>
      </c>
      <c r="O113">
        <f t="shared" si="3"/>
        <v>5608504.037333834</v>
      </c>
      <c r="Q113" s="53">
        <f t="shared" si="4"/>
        <v>0.26672385232307066</v>
      </c>
      <c r="R113" s="53">
        <f t="shared" si="5"/>
        <v>0.6957840463934537</v>
      </c>
      <c r="S113" s="53">
        <f t="shared" si="6"/>
        <v>0.3042159536065463</v>
      </c>
      <c r="T113">
        <f t="shared" si="2"/>
        <v>2452192.476771526</v>
      </c>
    </row>
    <row r="114" spans="2:20" x14ac:dyDescent="0.25">
      <c r="B114" t="s">
        <v>5</v>
      </c>
      <c r="C114" t="s">
        <v>5</v>
      </c>
      <c r="D114">
        <v>2021</v>
      </c>
      <c r="E114" t="s">
        <v>5</v>
      </c>
      <c r="F114">
        <f t="shared" si="3"/>
        <v>15991432.000000197</v>
      </c>
      <c r="G114">
        <f t="shared" si="3"/>
        <v>9372274.7843112461</v>
      </c>
      <c r="H114">
        <f t="shared" si="3"/>
        <v>651339.92684804904</v>
      </c>
      <c r="I114">
        <f t="shared" si="3"/>
        <v>2447838.459371143</v>
      </c>
      <c r="J114">
        <f t="shared" si="3"/>
        <v>5490898.7339989981</v>
      </c>
      <c r="K114">
        <f t="shared" si="3"/>
        <v>193884.29317876429</v>
      </c>
      <c r="L114">
        <f t="shared" si="3"/>
        <v>313037.09139627829</v>
      </c>
      <c r="M114">
        <f t="shared" si="3"/>
        <v>665.27581209497509</v>
      </c>
      <c r="N114">
        <f t="shared" si="3"/>
        <v>8720934.8574631978</v>
      </c>
      <c r="O114">
        <f t="shared" si="3"/>
        <v>5998485.394386136</v>
      </c>
      <c r="Q114" s="53">
        <f t="shared" si="4"/>
        <v>0.28068532782082795</v>
      </c>
      <c r="R114" s="53">
        <f t="shared" si="5"/>
        <v>0.68782596045339739</v>
      </c>
      <c r="S114" s="53">
        <f t="shared" si="6"/>
        <v>0.31217403954660261</v>
      </c>
      <c r="T114">
        <f t="shared" si="2"/>
        <v>2722449.4630770618</v>
      </c>
    </row>
    <row r="115" spans="2:20" x14ac:dyDescent="0.25">
      <c r="B115" t="s">
        <v>5</v>
      </c>
      <c r="C115" t="s">
        <v>5</v>
      </c>
      <c r="D115">
        <v>2022</v>
      </c>
      <c r="E115" t="s">
        <v>5</v>
      </c>
      <c r="F115">
        <f t="shared" si="3"/>
        <v>16144885.000000136</v>
      </c>
      <c r="G115">
        <f t="shared" si="3"/>
        <v>9741213.4807330854</v>
      </c>
      <c r="H115">
        <f t="shared" si="3"/>
        <v>745386.99906505318</v>
      </c>
      <c r="I115">
        <f t="shared" si="3"/>
        <v>2433181.4217691594</v>
      </c>
      <c r="J115">
        <f t="shared" si="3"/>
        <v>5751195.5377532644</v>
      </c>
      <c r="K115">
        <f t="shared" si="3"/>
        <v>189254.57962120767</v>
      </c>
      <c r="L115">
        <f t="shared" si="3"/>
        <v>323942.77426120109</v>
      </c>
      <c r="M115">
        <f t="shared" si="3"/>
        <v>2395.4198917375311</v>
      </c>
      <c r="N115">
        <f t="shared" si="3"/>
        <v>8995826.4816680327</v>
      </c>
      <c r="O115">
        <f t="shared" si="3"/>
        <v>6266788.3115274096</v>
      </c>
      <c r="Q115" s="53">
        <f t="shared" si="4"/>
        <v>0.27047891894397585</v>
      </c>
      <c r="R115" s="53">
        <f t="shared" si="5"/>
        <v>0.69663285794785623</v>
      </c>
      <c r="S115" s="53">
        <f t="shared" si="6"/>
        <v>0.30336714205214377</v>
      </c>
      <c r="T115">
        <f t="shared" si="2"/>
        <v>2729038.1701406231</v>
      </c>
    </row>
    <row r="116" spans="2:20" x14ac:dyDescent="0.25">
      <c r="B116" t="s">
        <v>379</v>
      </c>
      <c r="C116" t="s">
        <v>379</v>
      </c>
      <c r="D116">
        <v>2013</v>
      </c>
      <c r="E116" t="s">
        <v>379</v>
      </c>
      <c r="F116">
        <f t="shared" ref="F116:O125" si="7">+SUMIFS(F$26:F$105,$D$26:$D$105,$D116,$C$26:$C$105,$C116)</f>
        <v>6171827.5157817034</v>
      </c>
      <c r="G116">
        <f t="shared" si="7"/>
        <v>6171827.5157817034</v>
      </c>
      <c r="H116">
        <f t="shared" si="7"/>
        <v>0</v>
      </c>
      <c r="I116">
        <f t="shared" si="7"/>
        <v>0</v>
      </c>
      <c r="J116">
        <f t="shared" si="7"/>
        <v>5064455.9217174547</v>
      </c>
      <c r="K116">
        <f t="shared" si="7"/>
        <v>0</v>
      </c>
      <c r="L116">
        <f t="shared" si="7"/>
        <v>0</v>
      </c>
      <c r="M116">
        <f t="shared" si="7"/>
        <v>0</v>
      </c>
      <c r="N116">
        <f t="shared" si="7"/>
        <v>6171827.5157817034</v>
      </c>
      <c r="O116">
        <f t="shared" si="7"/>
        <v>5064455.9217174547</v>
      </c>
      <c r="Q116" s="53">
        <f t="shared" si="4"/>
        <v>0</v>
      </c>
      <c r="R116" s="53">
        <f t="shared" si="5"/>
        <v>0.82057638661601628</v>
      </c>
      <c r="S116" s="53">
        <f t="shared" si="6"/>
        <v>0.17942361338398372</v>
      </c>
      <c r="T116">
        <f t="shared" si="2"/>
        <v>1107371.5940642487</v>
      </c>
    </row>
    <row r="117" spans="2:20" x14ac:dyDescent="0.25">
      <c r="B117" t="s">
        <v>379</v>
      </c>
      <c r="C117" t="s">
        <v>379</v>
      </c>
      <c r="D117">
        <v>2014</v>
      </c>
      <c r="E117" t="s">
        <v>379</v>
      </c>
      <c r="F117">
        <f t="shared" si="7"/>
        <v>6213300.9078744613</v>
      </c>
      <c r="G117">
        <f t="shared" si="7"/>
        <v>6213300.9078744613</v>
      </c>
      <c r="H117">
        <f t="shared" si="7"/>
        <v>0</v>
      </c>
      <c r="I117">
        <f t="shared" si="7"/>
        <v>0</v>
      </c>
      <c r="J117">
        <f t="shared" si="7"/>
        <v>5036778.7354674563</v>
      </c>
      <c r="K117">
        <f t="shared" si="7"/>
        <v>0</v>
      </c>
      <c r="L117">
        <f t="shared" si="7"/>
        <v>0</v>
      </c>
      <c r="M117">
        <f t="shared" si="7"/>
        <v>0</v>
      </c>
      <c r="N117">
        <f t="shared" si="7"/>
        <v>6213300.9078744613</v>
      </c>
      <c r="O117">
        <f t="shared" si="7"/>
        <v>5036778.7354674563</v>
      </c>
      <c r="Q117" s="53">
        <f t="shared" si="4"/>
        <v>0</v>
      </c>
      <c r="R117" s="53">
        <f t="shared" si="5"/>
        <v>0.81064458492330005</v>
      </c>
      <c r="S117" s="53">
        <f t="shared" si="6"/>
        <v>0.18935541507669995</v>
      </c>
      <c r="T117">
        <f t="shared" si="2"/>
        <v>1176522.172407005</v>
      </c>
    </row>
    <row r="118" spans="2:20" x14ac:dyDescent="0.25">
      <c r="B118" t="s">
        <v>379</v>
      </c>
      <c r="C118" t="s">
        <v>379</v>
      </c>
      <c r="D118">
        <v>2015</v>
      </c>
      <c r="E118" t="s">
        <v>379</v>
      </c>
      <c r="F118">
        <f t="shared" si="7"/>
        <v>6358624.3118884685</v>
      </c>
      <c r="G118">
        <f t="shared" si="7"/>
        <v>6358624.3118884685</v>
      </c>
      <c r="H118">
        <f t="shared" si="7"/>
        <v>0</v>
      </c>
      <c r="I118">
        <f t="shared" si="7"/>
        <v>0</v>
      </c>
      <c r="J118">
        <f t="shared" si="7"/>
        <v>5159966.2638179353</v>
      </c>
      <c r="K118">
        <f t="shared" si="7"/>
        <v>0</v>
      </c>
      <c r="L118">
        <f t="shared" si="7"/>
        <v>0</v>
      </c>
      <c r="M118">
        <f t="shared" si="7"/>
        <v>0</v>
      </c>
      <c r="N118">
        <f t="shared" si="7"/>
        <v>6358624.3118884685</v>
      </c>
      <c r="O118">
        <f t="shared" si="7"/>
        <v>5159966.2638179353</v>
      </c>
      <c r="Q118" s="53">
        <f t="shared" si="4"/>
        <v>0</v>
      </c>
      <c r="R118" s="53">
        <f t="shared" si="5"/>
        <v>0.81149097835054518</v>
      </c>
      <c r="S118" s="53">
        <f t="shared" si="6"/>
        <v>0.18850902164945482</v>
      </c>
      <c r="T118">
        <f t="shared" si="2"/>
        <v>1198658.0480705332</v>
      </c>
    </row>
    <row r="119" spans="2:20" x14ac:dyDescent="0.25">
      <c r="B119" t="s">
        <v>379</v>
      </c>
      <c r="C119" t="s">
        <v>379</v>
      </c>
      <c r="D119">
        <v>2016</v>
      </c>
      <c r="E119" t="s">
        <v>379</v>
      </c>
      <c r="F119">
        <f t="shared" si="7"/>
        <v>6357973.7945103347</v>
      </c>
      <c r="G119">
        <f t="shared" si="7"/>
        <v>6357973.7945103347</v>
      </c>
      <c r="H119">
        <f t="shared" si="7"/>
        <v>0</v>
      </c>
      <c r="I119">
        <f t="shared" si="7"/>
        <v>0</v>
      </c>
      <c r="J119">
        <f t="shared" si="7"/>
        <v>5156139.1309734788</v>
      </c>
      <c r="K119">
        <f t="shared" si="7"/>
        <v>0</v>
      </c>
      <c r="L119">
        <f t="shared" si="7"/>
        <v>0</v>
      </c>
      <c r="M119">
        <f t="shared" si="7"/>
        <v>0</v>
      </c>
      <c r="N119">
        <f t="shared" si="7"/>
        <v>6357973.7945103347</v>
      </c>
      <c r="O119">
        <f t="shared" si="7"/>
        <v>5156139.1309734788</v>
      </c>
      <c r="Q119" s="53">
        <f t="shared" si="4"/>
        <v>0</v>
      </c>
      <c r="R119" s="53">
        <f t="shared" si="5"/>
        <v>0.81097206399709354</v>
      </c>
      <c r="S119" s="53">
        <f t="shared" si="6"/>
        <v>0.18902793600290646</v>
      </c>
      <c r="T119">
        <f t="shared" si="2"/>
        <v>1201834.663536856</v>
      </c>
    </row>
    <row r="120" spans="2:20" x14ac:dyDescent="0.25">
      <c r="B120" t="s">
        <v>379</v>
      </c>
      <c r="C120" t="s">
        <v>379</v>
      </c>
      <c r="D120">
        <v>2017</v>
      </c>
      <c r="E120" t="s">
        <v>379</v>
      </c>
      <c r="F120">
        <f t="shared" si="7"/>
        <v>6491779.2274231669</v>
      </c>
      <c r="G120">
        <f t="shared" si="7"/>
        <v>6491779.2274231669</v>
      </c>
      <c r="H120">
        <f t="shared" si="7"/>
        <v>0</v>
      </c>
      <c r="I120">
        <f t="shared" si="7"/>
        <v>1209251.264865241</v>
      </c>
      <c r="J120">
        <f t="shared" si="7"/>
        <v>5223125.4583389126</v>
      </c>
      <c r="K120">
        <f t="shared" si="7"/>
        <v>0</v>
      </c>
      <c r="L120">
        <f t="shared" si="7"/>
        <v>0</v>
      </c>
      <c r="M120">
        <f t="shared" si="7"/>
        <v>0</v>
      </c>
      <c r="N120">
        <f t="shared" si="7"/>
        <v>6491779.2274231669</v>
      </c>
      <c r="O120">
        <f t="shared" si="7"/>
        <v>5223125.4583389126</v>
      </c>
      <c r="Q120" s="53">
        <f t="shared" si="4"/>
        <v>0.18627424354744096</v>
      </c>
      <c r="R120" s="53">
        <f t="shared" si="5"/>
        <v>0.80457533680056603</v>
      </c>
      <c r="S120" s="53">
        <f t="shared" si="6"/>
        <v>0.19542466319943397</v>
      </c>
      <c r="T120">
        <f t="shared" si="2"/>
        <v>1268653.7690842543</v>
      </c>
    </row>
    <row r="121" spans="2:20" x14ac:dyDescent="0.25">
      <c r="B121" t="s">
        <v>379</v>
      </c>
      <c r="C121" t="s">
        <v>379</v>
      </c>
      <c r="D121">
        <v>2018</v>
      </c>
      <c r="E121" t="s">
        <v>379</v>
      </c>
      <c r="F121">
        <f t="shared" si="7"/>
        <v>6624763.3996778028</v>
      </c>
      <c r="G121">
        <f t="shared" si="7"/>
        <v>6624763.3996778028</v>
      </c>
      <c r="H121">
        <f t="shared" si="7"/>
        <v>0</v>
      </c>
      <c r="I121">
        <f t="shared" si="7"/>
        <v>1178068.7565735136</v>
      </c>
      <c r="J121">
        <f t="shared" si="7"/>
        <v>5400976.7966149319</v>
      </c>
      <c r="K121">
        <f t="shared" si="7"/>
        <v>0</v>
      </c>
      <c r="L121">
        <f t="shared" si="7"/>
        <v>0</v>
      </c>
      <c r="M121">
        <f t="shared" si="7"/>
        <v>0</v>
      </c>
      <c r="N121">
        <f t="shared" si="7"/>
        <v>6624763.3996778028</v>
      </c>
      <c r="O121">
        <f t="shared" si="7"/>
        <v>5400976.7966149319</v>
      </c>
      <c r="Q121" s="53">
        <f t="shared" si="4"/>
        <v>0.17782804992413909</v>
      </c>
      <c r="R121" s="53">
        <f t="shared" si="5"/>
        <v>0.81527089659950869</v>
      </c>
      <c r="S121" s="53">
        <f t="shared" si="6"/>
        <v>0.18472910340049131</v>
      </c>
      <c r="T121">
        <f t="shared" si="2"/>
        <v>1223786.6030628709</v>
      </c>
    </row>
    <row r="122" spans="2:20" x14ac:dyDescent="0.25">
      <c r="B122" t="s">
        <v>379</v>
      </c>
      <c r="C122" t="s">
        <v>379</v>
      </c>
      <c r="D122">
        <v>2019</v>
      </c>
      <c r="E122" t="s">
        <v>379</v>
      </c>
      <c r="F122">
        <f t="shared" si="7"/>
        <v>6816162.8042445267</v>
      </c>
      <c r="G122">
        <f t="shared" si="7"/>
        <v>6816162.8042445267</v>
      </c>
      <c r="H122">
        <f t="shared" si="7"/>
        <v>0</v>
      </c>
      <c r="I122">
        <f t="shared" si="7"/>
        <v>1201373.3883332205</v>
      </c>
      <c r="J122">
        <f t="shared" si="7"/>
        <v>5541090.5369144818</v>
      </c>
      <c r="K122">
        <f t="shared" si="7"/>
        <v>219305.92312151397</v>
      </c>
      <c r="L122">
        <f t="shared" si="7"/>
        <v>0</v>
      </c>
      <c r="M122">
        <f t="shared" si="7"/>
        <v>0</v>
      </c>
      <c r="N122">
        <f t="shared" si="7"/>
        <v>6816162.8042445267</v>
      </c>
      <c r="O122">
        <f t="shared" si="7"/>
        <v>5760396.4600359965</v>
      </c>
      <c r="Q122" s="53">
        <f t="shared" si="4"/>
        <v>0.17625362287196358</v>
      </c>
      <c r="R122" s="53">
        <f t="shared" si="5"/>
        <v>0.84510840269967014</v>
      </c>
      <c r="S122" s="53">
        <f t="shared" si="6"/>
        <v>0.15489159730032986</v>
      </c>
      <c r="T122">
        <f t="shared" ref="T122:T135" si="8">+N122-O122</f>
        <v>1055766.3442085302</v>
      </c>
    </row>
    <row r="123" spans="2:20" x14ac:dyDescent="0.25">
      <c r="B123" t="s">
        <v>379</v>
      </c>
      <c r="C123" t="s">
        <v>379</v>
      </c>
      <c r="D123">
        <v>2020</v>
      </c>
      <c r="E123" t="s">
        <v>379</v>
      </c>
      <c r="F123">
        <f t="shared" si="7"/>
        <v>6168569.0214295704</v>
      </c>
      <c r="G123">
        <f t="shared" si="7"/>
        <v>6168569.0214295704</v>
      </c>
      <c r="H123">
        <f t="shared" si="7"/>
        <v>0</v>
      </c>
      <c r="I123">
        <f t="shared" si="7"/>
        <v>992885.42700785107</v>
      </c>
      <c r="J123">
        <f t="shared" si="7"/>
        <v>5187035.0729721049</v>
      </c>
      <c r="K123">
        <f t="shared" si="7"/>
        <v>175316.10233961506</v>
      </c>
      <c r="L123">
        <f t="shared" si="7"/>
        <v>0</v>
      </c>
      <c r="M123">
        <f t="shared" si="7"/>
        <v>0</v>
      </c>
      <c r="N123">
        <f t="shared" si="7"/>
        <v>6168569.0214295704</v>
      </c>
      <c r="O123">
        <f t="shared" si="7"/>
        <v>5362351.17531172</v>
      </c>
      <c r="Q123" s="53">
        <f t="shared" si="4"/>
        <v>0.16095879345089165</v>
      </c>
      <c r="R123" s="53">
        <f t="shared" si="5"/>
        <v>0.8693022898313929</v>
      </c>
      <c r="S123" s="53">
        <f t="shared" si="6"/>
        <v>0.1306977101686071</v>
      </c>
      <c r="T123">
        <f t="shared" si="8"/>
        <v>806217.84611785039</v>
      </c>
    </row>
    <row r="124" spans="2:20" x14ac:dyDescent="0.25">
      <c r="B124" t="s">
        <v>379</v>
      </c>
      <c r="C124" t="s">
        <v>379</v>
      </c>
      <c r="D124">
        <v>2021</v>
      </c>
      <c r="E124" t="s">
        <v>379</v>
      </c>
      <c r="F124">
        <f t="shared" si="7"/>
        <v>6492796.7983669387</v>
      </c>
      <c r="G124">
        <f t="shared" si="7"/>
        <v>6492796.7983669387</v>
      </c>
      <c r="H124">
        <f t="shared" si="7"/>
        <v>0</v>
      </c>
      <c r="I124">
        <f t="shared" si="7"/>
        <v>1014333.9017125844</v>
      </c>
      <c r="J124">
        <f t="shared" si="7"/>
        <v>5490898.7339989981</v>
      </c>
      <c r="K124">
        <f t="shared" si="7"/>
        <v>193884.29317876429</v>
      </c>
      <c r="L124">
        <f t="shared" si="7"/>
        <v>0</v>
      </c>
      <c r="M124">
        <f t="shared" si="7"/>
        <v>0</v>
      </c>
      <c r="N124">
        <f t="shared" si="7"/>
        <v>6492796.7983669387</v>
      </c>
      <c r="O124">
        <f t="shared" si="7"/>
        <v>5684783.0271777632</v>
      </c>
      <c r="Q124" s="53">
        <f t="shared" si="4"/>
        <v>0.15622449511552688</v>
      </c>
      <c r="R124" s="53">
        <f t="shared" si="5"/>
        <v>0.87555227796557467</v>
      </c>
      <c r="S124" s="53">
        <f t="shared" si="6"/>
        <v>0.12444772203442533</v>
      </c>
      <c r="T124">
        <f t="shared" si="8"/>
        <v>808013.77118917555</v>
      </c>
    </row>
    <row r="125" spans="2:20" x14ac:dyDescent="0.25">
      <c r="B125" t="s">
        <v>379</v>
      </c>
      <c r="C125" t="s">
        <v>379</v>
      </c>
      <c r="D125">
        <v>2022</v>
      </c>
      <c r="E125" t="s">
        <v>379</v>
      </c>
      <c r="F125">
        <f t="shared" si="7"/>
        <v>6832424.3742080228</v>
      </c>
      <c r="G125">
        <f t="shared" si="7"/>
        <v>6832424.3742080228</v>
      </c>
      <c r="H125">
        <f t="shared" si="7"/>
        <v>0</v>
      </c>
      <c r="I125">
        <f t="shared" si="7"/>
        <v>1095550.2038296028</v>
      </c>
      <c r="J125">
        <f t="shared" si="7"/>
        <v>5751195.5377532644</v>
      </c>
      <c r="K125">
        <f t="shared" si="7"/>
        <v>189254.57962120767</v>
      </c>
      <c r="L125">
        <f t="shared" si="7"/>
        <v>0</v>
      </c>
      <c r="M125">
        <f t="shared" si="7"/>
        <v>0</v>
      </c>
      <c r="N125">
        <f t="shared" si="7"/>
        <v>6832424.3742080228</v>
      </c>
      <c r="O125">
        <f t="shared" si="7"/>
        <v>5940450.1173744714</v>
      </c>
      <c r="Q125" s="53">
        <f t="shared" si="4"/>
        <v>0.16034574900898088</v>
      </c>
      <c r="R125" s="53">
        <f t="shared" si="5"/>
        <v>0.86944981634912799</v>
      </c>
      <c r="S125" s="53">
        <f t="shared" si="6"/>
        <v>0.13055018365087201</v>
      </c>
      <c r="T125">
        <f t="shared" si="8"/>
        <v>891974.25683355145</v>
      </c>
    </row>
    <row r="126" spans="2:20" x14ac:dyDescent="0.25">
      <c r="B126" t="s">
        <v>378</v>
      </c>
      <c r="C126" t="s">
        <v>378</v>
      </c>
      <c r="D126">
        <v>2013</v>
      </c>
      <c r="E126" t="s">
        <v>378</v>
      </c>
      <c r="F126">
        <f t="shared" ref="F126:O135" si="9">+SUMIFS(F$26:F$105,$D$26:$D$105,$D126,$C$26:$C$105,$C126)</f>
        <v>1997184.5572558651</v>
      </c>
      <c r="G126">
        <f t="shared" si="9"/>
        <v>1997184.5572558651</v>
      </c>
      <c r="H126">
        <f t="shared" si="9"/>
        <v>0</v>
      </c>
      <c r="I126">
        <f t="shared" si="9"/>
        <v>0</v>
      </c>
      <c r="J126">
        <f t="shared" si="9"/>
        <v>0</v>
      </c>
      <c r="K126">
        <f t="shared" si="9"/>
        <v>0</v>
      </c>
      <c r="L126">
        <f t="shared" si="9"/>
        <v>302513.06617387896</v>
      </c>
      <c r="M126">
        <f t="shared" si="9"/>
        <v>0</v>
      </c>
      <c r="N126">
        <f t="shared" si="9"/>
        <v>1997184.5572558651</v>
      </c>
      <c r="O126">
        <f t="shared" si="9"/>
        <v>302513.06617387896</v>
      </c>
      <c r="Q126" s="53">
        <f t="shared" si="4"/>
        <v>0</v>
      </c>
      <c r="R126" s="53">
        <f t="shared" si="5"/>
        <v>0.1514697603057438</v>
      </c>
      <c r="S126" s="53">
        <f t="shared" si="6"/>
        <v>0.84853023969425623</v>
      </c>
      <c r="T126">
        <f t="shared" si="8"/>
        <v>1694671.4910819861</v>
      </c>
    </row>
    <row r="127" spans="2:20" x14ac:dyDescent="0.25">
      <c r="B127" t="s">
        <v>378</v>
      </c>
      <c r="C127" t="s">
        <v>378</v>
      </c>
      <c r="D127">
        <v>2014</v>
      </c>
      <c r="E127" t="s">
        <v>378</v>
      </c>
      <c r="F127">
        <f t="shared" si="9"/>
        <v>2041382.0508840622</v>
      </c>
      <c r="G127">
        <f t="shared" si="9"/>
        <v>2041382.0508840622</v>
      </c>
      <c r="H127">
        <f t="shared" si="9"/>
        <v>0</v>
      </c>
      <c r="I127">
        <f t="shared" si="9"/>
        <v>0</v>
      </c>
      <c r="J127">
        <f t="shared" si="9"/>
        <v>0</v>
      </c>
      <c r="K127">
        <f t="shared" si="9"/>
        <v>0</v>
      </c>
      <c r="L127">
        <f t="shared" si="9"/>
        <v>293148.37372878962</v>
      </c>
      <c r="M127">
        <f t="shared" si="9"/>
        <v>0</v>
      </c>
      <c r="N127">
        <f t="shared" si="9"/>
        <v>2041382.0508840622</v>
      </c>
      <c r="O127">
        <f t="shared" si="9"/>
        <v>293148.37372878962</v>
      </c>
      <c r="Q127" s="53">
        <f t="shared" si="4"/>
        <v>0</v>
      </c>
      <c r="R127" s="53">
        <f t="shared" si="5"/>
        <v>0.14360289569599954</v>
      </c>
      <c r="S127" s="53">
        <f t="shared" si="6"/>
        <v>0.8563971043040004</v>
      </c>
      <c r="T127">
        <f t="shared" si="8"/>
        <v>1748233.6771552726</v>
      </c>
    </row>
    <row r="128" spans="2:20" x14ac:dyDescent="0.25">
      <c r="B128" t="s">
        <v>378</v>
      </c>
      <c r="C128" t="s">
        <v>378</v>
      </c>
      <c r="D128">
        <v>2015</v>
      </c>
      <c r="E128" t="s">
        <v>378</v>
      </c>
      <c r="F128">
        <f t="shared" si="9"/>
        <v>2079930.8822160284</v>
      </c>
      <c r="G128">
        <f t="shared" si="9"/>
        <v>2079930.8822160284</v>
      </c>
      <c r="H128">
        <f t="shared" si="9"/>
        <v>0</v>
      </c>
      <c r="I128">
        <f t="shared" si="9"/>
        <v>0</v>
      </c>
      <c r="J128">
        <f t="shared" si="9"/>
        <v>0</v>
      </c>
      <c r="K128">
        <f t="shared" si="9"/>
        <v>0</v>
      </c>
      <c r="L128">
        <f t="shared" si="9"/>
        <v>312493.22000844131</v>
      </c>
      <c r="M128">
        <f t="shared" si="9"/>
        <v>0</v>
      </c>
      <c r="N128">
        <f t="shared" si="9"/>
        <v>2079930.8822160284</v>
      </c>
      <c r="O128">
        <f t="shared" si="9"/>
        <v>312493.22000844131</v>
      </c>
      <c r="Q128" s="53">
        <f t="shared" si="4"/>
        <v>0</v>
      </c>
      <c r="R128" s="53">
        <f t="shared" si="5"/>
        <v>0.15024211750512617</v>
      </c>
      <c r="S128" s="53">
        <f t="shared" si="6"/>
        <v>0.84975788249487383</v>
      </c>
      <c r="T128">
        <f t="shared" si="8"/>
        <v>1767437.6622075872</v>
      </c>
    </row>
    <row r="129" spans="2:20" x14ac:dyDescent="0.25">
      <c r="B129" t="s">
        <v>378</v>
      </c>
      <c r="C129" t="s">
        <v>378</v>
      </c>
      <c r="D129">
        <v>2016</v>
      </c>
      <c r="E129" t="s">
        <v>378</v>
      </c>
      <c r="F129">
        <f t="shared" si="9"/>
        <v>2187246.150568028</v>
      </c>
      <c r="G129">
        <f t="shared" si="9"/>
        <v>2187246.150568028</v>
      </c>
      <c r="H129">
        <f t="shared" si="9"/>
        <v>0</v>
      </c>
      <c r="I129">
        <f t="shared" si="9"/>
        <v>0</v>
      </c>
      <c r="J129">
        <f t="shared" si="9"/>
        <v>0</v>
      </c>
      <c r="K129">
        <f t="shared" si="9"/>
        <v>0</v>
      </c>
      <c r="L129">
        <f t="shared" si="9"/>
        <v>327747.4761885475</v>
      </c>
      <c r="M129">
        <f t="shared" si="9"/>
        <v>0</v>
      </c>
      <c r="N129">
        <f t="shared" si="9"/>
        <v>2187246.150568028</v>
      </c>
      <c r="O129">
        <f t="shared" si="9"/>
        <v>327747.4761885475</v>
      </c>
      <c r="Q129" s="53">
        <f t="shared" si="4"/>
        <v>0</v>
      </c>
      <c r="R129" s="53">
        <f t="shared" si="5"/>
        <v>0.14984480649488466</v>
      </c>
      <c r="S129" s="53">
        <f t="shared" si="6"/>
        <v>0.85015519350511537</v>
      </c>
      <c r="T129">
        <f t="shared" si="8"/>
        <v>1859498.6743794805</v>
      </c>
    </row>
    <row r="130" spans="2:20" x14ac:dyDescent="0.25">
      <c r="B130" t="s">
        <v>378</v>
      </c>
      <c r="C130" t="s">
        <v>378</v>
      </c>
      <c r="D130">
        <v>2017</v>
      </c>
      <c r="E130" t="s">
        <v>378</v>
      </c>
      <c r="F130">
        <f t="shared" si="9"/>
        <v>2296876.5134608303</v>
      </c>
      <c r="G130">
        <f t="shared" si="9"/>
        <v>2296876.5134608303</v>
      </c>
      <c r="H130">
        <f t="shared" si="9"/>
        <v>0</v>
      </c>
      <c r="I130">
        <f t="shared" si="9"/>
        <v>1308513.8179508606</v>
      </c>
      <c r="J130">
        <f t="shared" si="9"/>
        <v>0</v>
      </c>
      <c r="K130">
        <f t="shared" si="9"/>
        <v>0</v>
      </c>
      <c r="L130">
        <f t="shared" si="9"/>
        <v>364188.73916201445</v>
      </c>
      <c r="M130">
        <f t="shared" si="9"/>
        <v>1751.6961513873287</v>
      </c>
      <c r="N130">
        <f t="shared" si="9"/>
        <v>2296876.5134608303</v>
      </c>
      <c r="O130">
        <f t="shared" si="9"/>
        <v>365940.43531340174</v>
      </c>
      <c r="Q130" s="53">
        <f t="shared" si="4"/>
        <v>0.56969271542563282</v>
      </c>
      <c r="R130" s="53">
        <f t="shared" si="5"/>
        <v>0.15932090087073036</v>
      </c>
      <c r="S130" s="53">
        <f t="shared" si="6"/>
        <v>0.84067909912926964</v>
      </c>
      <c r="T130">
        <f t="shared" si="8"/>
        <v>1930936.0781474286</v>
      </c>
    </row>
    <row r="131" spans="2:20" x14ac:dyDescent="0.25">
      <c r="B131" t="s">
        <v>378</v>
      </c>
      <c r="C131" t="s">
        <v>378</v>
      </c>
      <c r="D131">
        <v>2018</v>
      </c>
      <c r="E131" t="s">
        <v>378</v>
      </c>
      <c r="F131">
        <f t="shared" si="9"/>
        <v>2330736.0429442106</v>
      </c>
      <c r="G131">
        <f t="shared" si="9"/>
        <v>2330736.0429442106</v>
      </c>
      <c r="H131">
        <f t="shared" si="9"/>
        <v>0</v>
      </c>
      <c r="I131">
        <f t="shared" si="9"/>
        <v>1371541.6505322782</v>
      </c>
      <c r="J131">
        <f t="shared" si="9"/>
        <v>0</v>
      </c>
      <c r="K131">
        <f t="shared" si="9"/>
        <v>0</v>
      </c>
      <c r="L131">
        <f t="shared" si="9"/>
        <v>377338.80297011859</v>
      </c>
      <c r="M131">
        <f t="shared" si="9"/>
        <v>1331.758290754465</v>
      </c>
      <c r="N131">
        <f t="shared" si="9"/>
        <v>2330736.0429442106</v>
      </c>
      <c r="O131">
        <f t="shared" si="9"/>
        <v>378670.5612608731</v>
      </c>
      <c r="Q131" s="53">
        <f t="shared" si="4"/>
        <v>0.58845859216204177</v>
      </c>
      <c r="R131" s="53">
        <f t="shared" si="5"/>
        <v>0.16246823075792505</v>
      </c>
      <c r="S131" s="53">
        <f t="shared" si="6"/>
        <v>0.83753176924207495</v>
      </c>
      <c r="T131">
        <f t="shared" si="8"/>
        <v>1952065.4816833376</v>
      </c>
    </row>
    <row r="132" spans="2:20" x14ac:dyDescent="0.25">
      <c r="B132" t="s">
        <v>378</v>
      </c>
      <c r="C132" t="s">
        <v>378</v>
      </c>
      <c r="D132">
        <v>2019</v>
      </c>
      <c r="E132" t="s">
        <v>378</v>
      </c>
      <c r="F132">
        <f t="shared" si="9"/>
        <v>2323881.3575910777</v>
      </c>
      <c r="G132">
        <f t="shared" si="9"/>
        <v>2323881.3575910777</v>
      </c>
      <c r="H132">
        <f t="shared" si="9"/>
        <v>0</v>
      </c>
      <c r="I132">
        <f t="shared" si="9"/>
        <v>1379350.4621865067</v>
      </c>
      <c r="J132">
        <f t="shared" si="9"/>
        <v>0</v>
      </c>
      <c r="K132">
        <f t="shared" si="9"/>
        <v>0</v>
      </c>
      <c r="L132">
        <f t="shared" si="9"/>
        <v>340011.10901801259</v>
      </c>
      <c r="M132">
        <f t="shared" si="9"/>
        <v>2683.0840130705219</v>
      </c>
      <c r="N132">
        <f t="shared" si="9"/>
        <v>2323881.3575910777</v>
      </c>
      <c r="O132">
        <f t="shared" si="9"/>
        <v>342694.19303108309</v>
      </c>
      <c r="Q132" s="53">
        <f t="shared" si="4"/>
        <v>0.59355459678730482</v>
      </c>
      <c r="R132" s="53">
        <f t="shared" si="5"/>
        <v>0.14746630326529145</v>
      </c>
      <c r="S132" s="53">
        <f t="shared" si="6"/>
        <v>0.85253369673470858</v>
      </c>
      <c r="T132">
        <f t="shared" si="8"/>
        <v>1981187.1645599946</v>
      </c>
    </row>
    <row r="133" spans="2:20" x14ac:dyDescent="0.25">
      <c r="B133" t="s">
        <v>378</v>
      </c>
      <c r="C133" t="s">
        <v>378</v>
      </c>
      <c r="D133">
        <v>2020</v>
      </c>
      <c r="E133" t="s">
        <v>378</v>
      </c>
      <c r="F133">
        <f t="shared" si="9"/>
        <v>1892127.4926757899</v>
      </c>
      <c r="G133">
        <f t="shared" si="9"/>
        <v>1892127.4926757899</v>
      </c>
      <c r="H133">
        <f t="shared" si="9"/>
        <v>0</v>
      </c>
      <c r="I133">
        <f t="shared" si="9"/>
        <v>1157094.5996414775</v>
      </c>
      <c r="J133">
        <f t="shared" si="9"/>
        <v>0</v>
      </c>
      <c r="K133">
        <f t="shared" si="9"/>
        <v>0</v>
      </c>
      <c r="L133">
        <f t="shared" si="9"/>
        <v>244711.92358193174</v>
      </c>
      <c r="M133">
        <f t="shared" si="9"/>
        <v>1440.9384401818299</v>
      </c>
      <c r="N133">
        <f t="shared" si="9"/>
        <v>1892127.4926757899</v>
      </c>
      <c r="O133">
        <f t="shared" si="9"/>
        <v>246152.86202211355</v>
      </c>
      <c r="Q133" s="53">
        <f t="shared" si="4"/>
        <v>0.61153099044353987</v>
      </c>
      <c r="R133" s="53">
        <f t="shared" si="5"/>
        <v>0.13009316918386485</v>
      </c>
      <c r="S133" s="53">
        <f t="shared" si="6"/>
        <v>0.86990683081613518</v>
      </c>
      <c r="T133">
        <f t="shared" si="8"/>
        <v>1645974.6306536763</v>
      </c>
    </row>
    <row r="134" spans="2:20" x14ac:dyDescent="0.25">
      <c r="B134" t="s">
        <v>378</v>
      </c>
      <c r="C134" t="s">
        <v>378</v>
      </c>
      <c r="D134">
        <v>2021</v>
      </c>
      <c r="E134" t="s">
        <v>378</v>
      </c>
      <c r="F134">
        <f t="shared" si="9"/>
        <v>2228138.0590962577</v>
      </c>
      <c r="G134">
        <f t="shared" si="9"/>
        <v>2228138.0590962577</v>
      </c>
      <c r="H134">
        <f t="shared" si="9"/>
        <v>0</v>
      </c>
      <c r="I134">
        <f t="shared" si="9"/>
        <v>1433504.5576585582</v>
      </c>
      <c r="J134">
        <f t="shared" si="9"/>
        <v>0</v>
      </c>
      <c r="K134">
        <f t="shared" si="9"/>
        <v>0</v>
      </c>
      <c r="L134">
        <f t="shared" si="9"/>
        <v>313037.09139627829</v>
      </c>
      <c r="M134">
        <f t="shared" si="9"/>
        <v>665.27581209497509</v>
      </c>
      <c r="N134">
        <f t="shared" si="9"/>
        <v>2228138.0590962577</v>
      </c>
      <c r="O134">
        <f t="shared" si="9"/>
        <v>313702.36720837327</v>
      </c>
      <c r="Q134" s="53">
        <f t="shared" si="4"/>
        <v>0.64336433364456502</v>
      </c>
      <c r="R134" s="53">
        <f t="shared" si="5"/>
        <v>0.14079126108353102</v>
      </c>
      <c r="S134" s="53">
        <f t="shared" si="6"/>
        <v>0.85920873891646898</v>
      </c>
      <c r="T134">
        <f t="shared" si="8"/>
        <v>1914435.6918878844</v>
      </c>
    </row>
    <row r="135" spans="2:20" x14ac:dyDescent="0.25">
      <c r="B135" t="s">
        <v>378</v>
      </c>
      <c r="C135" t="s">
        <v>378</v>
      </c>
      <c r="D135">
        <v>2022</v>
      </c>
      <c r="E135" t="s">
        <v>378</v>
      </c>
      <c r="F135">
        <f t="shared" si="9"/>
        <v>2163402.1074600099</v>
      </c>
      <c r="G135">
        <f t="shared" si="9"/>
        <v>2163402.1074600099</v>
      </c>
      <c r="H135">
        <f t="shared" si="9"/>
        <v>0</v>
      </c>
      <c r="I135">
        <f t="shared" si="9"/>
        <v>1337631.2179395561</v>
      </c>
      <c r="J135">
        <f t="shared" si="9"/>
        <v>0</v>
      </c>
      <c r="K135">
        <f t="shared" si="9"/>
        <v>0</v>
      </c>
      <c r="L135">
        <f t="shared" si="9"/>
        <v>323942.77426120109</v>
      </c>
      <c r="M135">
        <f t="shared" si="9"/>
        <v>2395.4198917375311</v>
      </c>
      <c r="N135">
        <f t="shared" si="9"/>
        <v>2163402.1074600099</v>
      </c>
      <c r="O135">
        <f t="shared" si="9"/>
        <v>326338.19415293861</v>
      </c>
      <c r="Q135" s="53">
        <f t="shared" si="4"/>
        <v>0.61829985897075401</v>
      </c>
      <c r="R135" s="53">
        <f t="shared" si="5"/>
        <v>0.15084490905672787</v>
      </c>
      <c r="S135" s="53">
        <f t="shared" si="6"/>
        <v>0.84915509094327213</v>
      </c>
      <c r="T135">
        <f t="shared" si="8"/>
        <v>1837063.9133070712</v>
      </c>
    </row>
  </sheetData>
  <autoFilter ref="D25:S25" xr:uid="{39B8BAF2-8F89-48AB-ABBA-BF810BF9515F}"/>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ABF0B-7F62-402D-80F3-06F1E3514971}">
  <sheetPr>
    <tabColor rgb="FFE9617B"/>
  </sheetPr>
  <dimension ref="B2:AH125"/>
  <sheetViews>
    <sheetView showGridLines="0" zoomScale="90" zoomScaleNormal="90" workbookViewId="0"/>
    <sheetView workbookViewId="1"/>
  </sheetViews>
  <sheetFormatPr baseColWidth="10" defaultColWidth="11.5703125" defaultRowHeight="15" x14ac:dyDescent="0.25"/>
  <cols>
    <col min="1" max="1" width="4.28515625" customWidth="1"/>
    <col min="5" max="12" width="10.85546875" hidden="1" customWidth="1"/>
    <col min="13" max="13" width="10.85546875" customWidth="1"/>
    <col min="14" max="17" width="11.5703125" hidden="1" customWidth="1"/>
    <col min="24" max="25" width="0" hidden="1" customWidth="1"/>
    <col min="26" max="26" width="11.7109375" bestFit="1" customWidth="1"/>
  </cols>
  <sheetData>
    <row r="2" spans="2:2" x14ac:dyDescent="0.25">
      <c r="B2" s="8" t="s">
        <v>546</v>
      </c>
    </row>
    <row r="22" spans="2:32" x14ac:dyDescent="0.25">
      <c r="B22" s="321" t="s">
        <v>577</v>
      </c>
    </row>
    <row r="25" spans="2:32" x14ac:dyDescent="0.25">
      <c r="B25" t="s">
        <v>421</v>
      </c>
      <c r="C25" s="180" t="s">
        <v>377</v>
      </c>
      <c r="D25" s="180" t="s">
        <v>420</v>
      </c>
      <c r="E25" s="180" t="s">
        <v>403</v>
      </c>
      <c r="F25" s="180" t="s">
        <v>402</v>
      </c>
      <c r="G25" s="180" t="s">
        <v>401</v>
      </c>
      <c r="H25" s="180" t="s">
        <v>400</v>
      </c>
      <c r="I25" s="180" t="s">
        <v>399</v>
      </c>
      <c r="J25" s="180" t="s">
        <v>398</v>
      </c>
      <c r="K25" s="180" t="s">
        <v>397</v>
      </c>
      <c r="L25" s="180" t="s">
        <v>396</v>
      </c>
      <c r="M25" s="180" t="s">
        <v>395</v>
      </c>
      <c r="N25" s="180" t="s">
        <v>394</v>
      </c>
      <c r="O25" s="180" t="s">
        <v>393</v>
      </c>
      <c r="P25" s="180" t="s">
        <v>392</v>
      </c>
      <c r="Q25" s="180" t="s">
        <v>391</v>
      </c>
      <c r="R25" s="180" t="s">
        <v>390</v>
      </c>
      <c r="S25" s="180" t="s">
        <v>419</v>
      </c>
      <c r="U25" s="181" t="s">
        <v>418</v>
      </c>
      <c r="V25" s="180"/>
      <c r="W25" s="180"/>
      <c r="X25" s="180"/>
      <c r="Y25" s="180"/>
      <c r="Z25" s="180"/>
      <c r="AA25" s="180"/>
      <c r="AB25" s="180"/>
      <c r="AC25" s="180"/>
    </row>
    <row r="26" spans="2:32" x14ac:dyDescent="0.25">
      <c r="B26" t="str">
        <f>+VLOOKUP(D26,[2]id!L:M,2,0)</f>
        <v>Educación secundaria</v>
      </c>
      <c r="C26">
        <v>2013</v>
      </c>
      <c r="D26">
        <v>5</v>
      </c>
      <c r="E26">
        <v>6185072.6911825407</v>
      </c>
      <c r="F26">
        <v>3869433.4149909569</v>
      </c>
      <c r="G26">
        <v>250769.62553794601</v>
      </c>
      <c r="H26">
        <v>0</v>
      </c>
      <c r="I26">
        <v>2280893.3729190389</v>
      </c>
      <c r="J26">
        <v>0</v>
      </c>
      <c r="K26">
        <v>97787.568655492752</v>
      </c>
      <c r="L26">
        <v>0</v>
      </c>
      <c r="M26" s="22">
        <v>3618663.789453011</v>
      </c>
      <c r="N26" s="22">
        <v>2378680.9415745321</v>
      </c>
      <c r="O26" s="53">
        <v>0.93519215899505748</v>
      </c>
      <c r="P26" s="53">
        <v>0</v>
      </c>
      <c r="Q26" s="53">
        <v>0.65733681822208956</v>
      </c>
      <c r="R26" s="53">
        <v>0.34266318177791039</v>
      </c>
      <c r="S26" s="22">
        <f t="shared" ref="S26:S57" si="0">+M26-N26</f>
        <v>1239982.8478784789</v>
      </c>
      <c r="U26" s="180" t="s">
        <v>377</v>
      </c>
      <c r="V26" s="8" t="s">
        <v>416</v>
      </c>
      <c r="W26" s="8" t="s">
        <v>415</v>
      </c>
      <c r="X26" s="8" t="s">
        <v>414</v>
      </c>
      <c r="Y26" s="8" t="s">
        <v>413</v>
      </c>
      <c r="Z26" s="8" t="s">
        <v>488</v>
      </c>
      <c r="AA26" s="8" t="s">
        <v>412</v>
      </c>
      <c r="AB26" s="8" t="s">
        <v>411</v>
      </c>
      <c r="AC26" s="8" t="s">
        <v>410</v>
      </c>
      <c r="AD26" s="8" t="s">
        <v>409</v>
      </c>
      <c r="AE26" s="8" t="s">
        <v>408</v>
      </c>
      <c r="AF26" s="8" t="s">
        <v>407</v>
      </c>
    </row>
    <row r="27" spans="2:32" x14ac:dyDescent="0.25">
      <c r="B27" t="str">
        <f>+VLOOKUP(D27,[2]id!L:M,2,0)</f>
        <v>Educación universitaria</v>
      </c>
      <c r="C27">
        <v>2013</v>
      </c>
      <c r="D27">
        <v>7</v>
      </c>
      <c r="E27">
        <v>2566112.1082828189</v>
      </c>
      <c r="F27">
        <v>1856566.7388104729</v>
      </c>
      <c r="G27">
        <v>106341.00040643731</v>
      </c>
      <c r="H27">
        <v>0</v>
      </c>
      <c r="I27">
        <v>1230908.8547775829</v>
      </c>
      <c r="J27">
        <v>0</v>
      </c>
      <c r="K27">
        <v>112636.145193252</v>
      </c>
      <c r="L27">
        <v>0</v>
      </c>
      <c r="M27" s="22">
        <v>1750225.7384040351</v>
      </c>
      <c r="N27" s="22">
        <v>1343544.9999708349</v>
      </c>
      <c r="O27" s="53">
        <v>0.94272169258263705</v>
      </c>
      <c r="P27" s="53">
        <v>0</v>
      </c>
      <c r="Q27" s="53">
        <v>0.76764097938358677</v>
      </c>
      <c r="R27" s="53">
        <v>0.2323590206164132</v>
      </c>
      <c r="S27" s="22">
        <f t="shared" si="0"/>
        <v>406680.73843320017</v>
      </c>
      <c r="U27">
        <v>2013</v>
      </c>
      <c r="V27" s="53" cm="1">
        <f t="array" ref="V27">INDEX($R$26:$R$1024, MATCH($U27 &amp; " Nunca estudió", $C$26:$C$1024 &amp; " " &amp; $B$26:$B$1024, 0))</f>
        <v>0.68702937747183901</v>
      </c>
      <c r="W27" s="53" cm="1">
        <f t="array" ref="W27">INDEX($R$26:$R$1024, MATCH($U27 &amp; " Educación preescolar", $C$26:$C$1024 &amp; " " &amp; $B$26:$B$1024, 0))</f>
        <v>0.59371091772570983</v>
      </c>
      <c r="X27" s="53" cm="1">
        <f t="array" ref="X27">INDEX($R$26:$R$1024, MATCH($U27 &amp; " Educación primaria (nivel 1)", $C$26:$C$1024 &amp; " " &amp; $B$26:$B$1024, 0))</f>
        <v>0.59809454775771242</v>
      </c>
      <c r="Y27" s="53" cm="1">
        <f t="array" ref="Y27">INDEX($R$26:$R$1024, MATCH($U27 &amp; " Educación primaria (nivel 2)", $C$26:$C$1024 &amp; " " &amp; $B$26:$B$1024, 0))</f>
        <v>0.49495368900872422</v>
      </c>
      <c r="Z27" s="53" cm="1">
        <f t="array" ref="Z27">(INDEX($S$26:$S$1024, MATCH($U27 &amp; " Educación primaria (nivel 1)", $C$26:$C$1024 &amp; " " &amp; $B$26:$B$1024, 0))+INDEX($S$26:$S$1024, MATCH($U27 &amp; " Educación primaria (nivel 2)", $C$26:$C$1024 &amp; " " &amp; $B$26:$B$1024, 0)) )/(INDEX($M$26:$M$1024, MATCH($U27 &amp; " Educación primaria (nivel 1)", $C$26:$C$1024 &amp; " " &amp; $B$26:$B$1024, 0))+INDEX($M$26:$M$1024, MATCH($U27 &amp; " Educación primaria (nivel 2)", $C$26:$C$1024 &amp; " " &amp; $B$26:$B$1024, 0)))</f>
        <v>0.54195434476874194</v>
      </c>
      <c r="AA27" s="53" cm="1">
        <f t="array" ref="AA27">INDEX($R$26:$R$1024, MATCH($U27 &amp; " Educación secundaria", $C$26:$C$1024 &amp; " " &amp; $B$26:$B$1024, 0))</f>
        <v>0.34266318177791039</v>
      </c>
      <c r="AB27" s="53" cm="1">
        <f t="array" ref="AB27">INDEX($R$26:$R$1024, MATCH($U27 &amp; " Educación Técnica (Educación Superior no Universitaria)", $C$26:$C$1024 &amp; " " &amp; $B$26:$B$1024, 0))</f>
        <v>0.22918974325492569</v>
      </c>
      <c r="AC27" s="53" cm="1">
        <f t="array" ref="AC27">INDEX($R$26:$R$1024, MATCH($U27 &amp; " Educación universitaria", $C$26:$C$1024 &amp; " " &amp; $B$26:$B$1024, 0))</f>
        <v>0.2323590206164132</v>
      </c>
      <c r="AD27" s="53" cm="1">
        <f t="array" ref="AD27">INDEX($R$26:$R$1024, MATCH($U27 &amp; " Post títulos y maestría", $C$26:$C$1024 &amp; " " &amp; $B$26:$B$1024, 0))</f>
        <v>0.17993862365985061</v>
      </c>
      <c r="AE27" s="53" cm="1">
        <f t="array" ref="AE27">INDEX($R$26:$R$1024, MATCH($U27 &amp; " Doctorado", $C$26:$C$1024 &amp; " " &amp; $B$26:$B$1024, 0))</f>
        <v>0.29693796952156232</v>
      </c>
      <c r="AF27" s="53" cm="1">
        <f t="array" ref="AF27">INDEX($R$26:$R$1024, MATCH($U27 &amp; " Nivel ignorado", $C$26:$C$1024 &amp; " " &amp; $B$26:$B$1024, 0))</f>
        <v>0.26836977987621752</v>
      </c>
    </row>
    <row r="28" spans="2:32" x14ac:dyDescent="0.25">
      <c r="B28" t="str">
        <f>+VLOOKUP(D28,[2]id!L:M,2,0)</f>
        <v>Educación primaria (nivel 1)</v>
      </c>
      <c r="C28">
        <v>2013</v>
      </c>
      <c r="D28">
        <v>3</v>
      </c>
      <c r="E28">
        <v>1901161.2103068279</v>
      </c>
      <c r="F28">
        <v>734896.77773388452</v>
      </c>
      <c r="G28">
        <v>26551.656386135721</v>
      </c>
      <c r="H28">
        <v>0</v>
      </c>
      <c r="I28">
        <v>272009.1219826811</v>
      </c>
      <c r="J28">
        <v>0</v>
      </c>
      <c r="K28">
        <v>12678.644356203909</v>
      </c>
      <c r="L28">
        <v>0</v>
      </c>
      <c r="M28" s="22">
        <v>708345.12134774879</v>
      </c>
      <c r="N28" s="22">
        <v>284687.76633888501</v>
      </c>
      <c r="O28" s="53">
        <v>0.96387022342374395</v>
      </c>
      <c r="P28" s="53">
        <v>0</v>
      </c>
      <c r="Q28" s="53">
        <v>0.40190545224228752</v>
      </c>
      <c r="R28" s="53">
        <v>0.59809454775771242</v>
      </c>
      <c r="S28" s="22">
        <f t="shared" si="0"/>
        <v>423657.35500886379</v>
      </c>
      <c r="T28" s="53"/>
      <c r="U28">
        <v>2014</v>
      </c>
      <c r="V28" s="53" cm="1">
        <f t="array" ref="V28">INDEX($R$26:$R$1024, MATCH($U28 &amp; " Nunca estudió", $C$26:$C$1024 &amp; " " &amp; $B$26:$B$1024, 0))</f>
        <v>0.66377973159169956</v>
      </c>
      <c r="W28" s="53" cm="1">
        <f t="array" ref="W28">INDEX($R$26:$R$1024, MATCH($U28 &amp; " Educación preescolar", $C$26:$C$1024 &amp; " " &amp; $B$26:$B$1024, 0))</f>
        <v>0.57066800131450712</v>
      </c>
      <c r="X28" s="53" cm="1">
        <f t="array" ref="X28">INDEX($R$26:$R$1024, MATCH($U28 &amp; " Educación primaria (nivel 1)", $C$26:$C$1024 &amp; " " &amp; $B$26:$B$1024, 0))</f>
        <v>0.60925432665637502</v>
      </c>
      <c r="Y28" s="53" cm="1">
        <f t="array" ref="Y28">INDEX($R$26:$R$1024, MATCH($U28 &amp; " Educación primaria (nivel 2)", $C$26:$C$1024 &amp; " " &amp; $B$26:$B$1024, 0))</f>
        <v>0.5005837352381316</v>
      </c>
      <c r="Z28" s="53" cm="1">
        <f t="array" ref="Z28">(INDEX($S$26:$S$1024, MATCH($U28 &amp; " Educación primaria (nivel 1)", $C$26:$C$1024 &amp; " " &amp; $B$26:$B$1024, 0))+INDEX($S$26:$S$1024, MATCH($U28 &amp; " Educación primaria (nivel 2)", $C$26:$C$1024 &amp; " " &amp; $B$26:$B$1024, 0)) )/(INDEX($M$26:$M$1024, MATCH($U28 &amp; " Educación primaria (nivel 1)", $C$26:$C$1024 &amp; " " &amp; $B$26:$B$1024, 0))+INDEX($M$26:$M$1024, MATCH($U28 &amp; " Educación primaria (nivel 2)", $C$26:$C$1024 &amp; " " &amp; $B$26:$B$1024, 0)))</f>
        <v>0.55071097936420554</v>
      </c>
      <c r="AA28" s="53" cm="1">
        <f t="array" ref="AA28">INDEX($R$26:$R$1024, MATCH($U28 &amp; " Educación secundaria", $C$26:$C$1024 &amp; " " &amp; $B$26:$B$1024, 0))</f>
        <v>0.34689291943469508</v>
      </c>
      <c r="AB28" s="53" cm="1">
        <f t="array" ref="AB28">INDEX($R$26:$R$1024, MATCH($U28 &amp; " Educación Técnica (Educación Superior no Universitaria)", $C$26:$C$1024 &amp; " " &amp; $B$26:$B$1024, 0))</f>
        <v>0.26540292884886368</v>
      </c>
      <c r="AC28" s="53" cm="1">
        <f t="array" ref="AC28">INDEX($R$26:$R$1024, MATCH($U28 &amp; " Educación universitaria", $C$26:$C$1024 &amp; " " &amp; $B$26:$B$1024, 0))</f>
        <v>0.25775217064205791</v>
      </c>
      <c r="AD28" s="53" cm="1">
        <f t="array" ref="AD28">INDEX($R$26:$R$1024, MATCH($U28 &amp; " Post títulos y maestría", $C$26:$C$1024 &amp; " " &amp; $B$26:$B$1024, 0))</f>
        <v>0.16040347115442269</v>
      </c>
      <c r="AE28" s="53" cm="1">
        <f t="array" ref="AE28">INDEX($R$26:$R$1024, MATCH($U28 &amp; " Doctorado", $C$26:$C$1024 &amp; " " &amp; $B$26:$B$1024, 0))</f>
        <v>0.27197790617195899</v>
      </c>
      <c r="AF28" s="53" cm="1">
        <f t="array" ref="AF28">INDEX($R$26:$R$1024, MATCH($U28 &amp; " Nivel ignorado", $C$26:$C$1024 &amp; " " &amp; $B$26:$B$1024, 0))</f>
        <v>0.50582895022694951</v>
      </c>
    </row>
    <row r="29" spans="2:32" x14ac:dyDescent="0.25">
      <c r="B29" t="str">
        <f>+VLOOKUP(D29,[2]id!L:M,2,0)</f>
        <v>Nunca estudió</v>
      </c>
      <c r="C29">
        <v>2013</v>
      </c>
      <c r="D29">
        <v>1</v>
      </c>
      <c r="E29">
        <v>236365.71556785001</v>
      </c>
      <c r="F29">
        <v>63318.139927440046</v>
      </c>
      <c r="G29">
        <v>1084.1626601091491</v>
      </c>
      <c r="H29">
        <v>0</v>
      </c>
      <c r="I29">
        <v>19050.148296659521</v>
      </c>
      <c r="J29">
        <v>0</v>
      </c>
      <c r="K29">
        <v>427.25831110045249</v>
      </c>
      <c r="L29">
        <v>0</v>
      </c>
      <c r="M29" s="22">
        <v>62233.977267330898</v>
      </c>
      <c r="N29" s="22">
        <v>19477.406607759971</v>
      </c>
      <c r="O29" s="53">
        <v>0.98287753459985472</v>
      </c>
      <c r="P29" s="53">
        <v>0</v>
      </c>
      <c r="Q29" s="53">
        <v>0.31297062252816099</v>
      </c>
      <c r="R29" s="53">
        <v>0.68702937747183901</v>
      </c>
      <c r="S29" s="22">
        <f t="shared" si="0"/>
        <v>42756.570659570927</v>
      </c>
      <c r="U29">
        <v>2015</v>
      </c>
      <c r="V29" s="53" cm="1">
        <f t="array" ref="V29">INDEX($R$26:$R$1024, MATCH($U29 &amp; " Nunca estudió", $C$26:$C$1024 &amp; " " &amp; $B$26:$B$1024, 0))</f>
        <v>0.72633597418072759</v>
      </c>
      <c r="W29" s="53" cm="1">
        <f t="array" ref="W29">INDEX($R$26:$R$1024, MATCH($U29 &amp; " Educación preescolar", $C$26:$C$1024 &amp; " " &amp; $B$26:$B$1024, 0))</f>
        <v>0.47109347452193612</v>
      </c>
      <c r="X29" s="53" cm="1">
        <f t="array" ref="X29">INDEX($R$26:$R$1024, MATCH($U29 &amp; " Educación primaria (nivel 1)", $C$26:$C$1024 &amp; " " &amp; $B$26:$B$1024, 0))</f>
        <v>0.61340672408080565</v>
      </c>
      <c r="Y29" s="53" cm="1">
        <f t="array" ref="Y29">INDEX($R$26:$R$1024, MATCH($U29 &amp; " Educación primaria (nivel 2)", $C$26:$C$1024 &amp; " " &amp; $B$26:$B$1024, 0))</f>
        <v>0.50695078007822425</v>
      </c>
      <c r="Z29" s="53" cm="1">
        <f t="array" ref="Z29">(INDEX($S$26:$S$1024, MATCH($U29 &amp; " Educación primaria (nivel 1)", $C$26:$C$1024 &amp; " " &amp; $B$26:$B$1024, 0))+INDEX($S$26:$S$1024, MATCH($U29 &amp; " Educación primaria (nivel 2)", $C$26:$C$1024 &amp; " " &amp; $B$26:$B$1024, 0)) )/(INDEX($M$26:$M$1024, MATCH($U29 &amp; " Educación primaria (nivel 1)", $C$26:$C$1024 &amp; " " &amp; $B$26:$B$1024, 0))+INDEX($M$26:$M$1024, MATCH($U29 &amp; " Educación primaria (nivel 2)", $C$26:$C$1024 &amp; " " &amp; $B$26:$B$1024, 0)))</f>
        <v>0.5543768439854313</v>
      </c>
      <c r="AA29" s="53" cm="1">
        <f t="array" ref="AA29">INDEX($R$26:$R$1024, MATCH($U29 &amp; " Educación secundaria", $C$26:$C$1024 &amp; " " &amp; $B$26:$B$1024, 0))</f>
        <v>0.34309970236752779</v>
      </c>
      <c r="AB29" s="53" cm="1">
        <f t="array" ref="AB29">INDEX($R$26:$R$1024, MATCH($U29 &amp; " Educación Técnica (Educación Superior no Universitaria)", $C$26:$C$1024 &amp; " " &amp; $B$26:$B$1024, 0))</f>
        <v>0.26480503642621572</v>
      </c>
      <c r="AC29" s="53" cm="1">
        <f t="array" ref="AC29">INDEX($R$26:$R$1024, MATCH($U29 &amp; " Educación universitaria", $C$26:$C$1024 &amp; " " &amp; $B$26:$B$1024, 0))</f>
        <v>0.2550512542615383</v>
      </c>
      <c r="AD29" s="53" cm="1">
        <f t="array" ref="AD29">INDEX($R$26:$R$1024, MATCH($U29 &amp; " Post títulos y maestría", $C$26:$C$1024 &amp; " " &amp; $B$26:$B$1024, 0))</f>
        <v>0.1976955556632303</v>
      </c>
      <c r="AE29" s="53" cm="1">
        <f t="array" ref="AE29">INDEX($R$26:$R$1024, MATCH($U29 &amp; " Doctorado", $C$26:$C$1024 &amp; " " &amp; $B$26:$B$1024, 0))</f>
        <v>0.2362807678441281</v>
      </c>
      <c r="AF29" s="53" cm="1">
        <f t="array" ref="AF29">INDEX($R$26:$R$1024, MATCH($U29 &amp; " Nivel ignorado", $C$26:$C$1024 &amp; " " &amp; $B$26:$B$1024, 0))</f>
        <v>0.25975203189481277</v>
      </c>
    </row>
    <row r="30" spans="2:32" x14ac:dyDescent="0.25">
      <c r="B30" t="str">
        <f>+VLOOKUP(D30,[2]id!L:M,2,0)</f>
        <v>Educación primaria (nivel 2)</v>
      </c>
      <c r="C30">
        <v>2013</v>
      </c>
      <c r="D30">
        <v>4</v>
      </c>
      <c r="E30">
        <v>1433190.299368321</v>
      </c>
      <c r="F30">
        <v>889284.5140280613</v>
      </c>
      <c r="G30">
        <v>43197.618948228002</v>
      </c>
      <c r="H30">
        <v>0</v>
      </c>
      <c r="I30">
        <v>407545.55664898461</v>
      </c>
      <c r="J30">
        <v>0</v>
      </c>
      <c r="K30">
        <v>19767.508489147898</v>
      </c>
      <c r="L30">
        <v>0</v>
      </c>
      <c r="M30" s="22">
        <v>846086.89507983334</v>
      </c>
      <c r="N30" s="22">
        <v>427313.06513813249</v>
      </c>
      <c r="O30" s="53">
        <v>0.95142429867291622</v>
      </c>
      <c r="P30" s="53">
        <v>0</v>
      </c>
      <c r="Q30" s="53">
        <v>0.50504631099127584</v>
      </c>
      <c r="R30" s="53">
        <v>0.49495368900872422</v>
      </c>
      <c r="S30" s="22">
        <f t="shared" si="0"/>
        <v>418773.82994170085</v>
      </c>
      <c r="U30">
        <v>2016</v>
      </c>
      <c r="V30" s="53" cm="1">
        <f t="array" ref="V30">INDEX($R$26:$R$1024, MATCH($U30 &amp; " Nunca estudió", $C$26:$C$1024 &amp; " " &amp; $B$26:$B$1024, 0))</f>
        <v>0.70317832196497743</v>
      </c>
      <c r="W30" s="53" cm="1">
        <f t="array" ref="W30">INDEX($R$26:$R$1024, MATCH($U30 &amp; " Educación preescolar", $C$26:$C$1024 &amp; " " &amp; $B$26:$B$1024, 0))</f>
        <v>0.53522712814311091</v>
      </c>
      <c r="X30" s="53" cm="1">
        <f t="array" ref="X30">INDEX($R$26:$R$1024, MATCH($U30 &amp; " Educación primaria (nivel 1)", $C$26:$C$1024 &amp; " " &amp; $B$26:$B$1024, 0))</f>
        <v>0.63631342236452415</v>
      </c>
      <c r="Y30" s="53" cm="1">
        <f t="array" ref="Y30">INDEX($R$26:$R$1024, MATCH($U30 &amp; " Educación primaria (nivel 2)", $C$26:$C$1024 &amp; " " &amp; $B$26:$B$1024, 0))</f>
        <v>0.51078281976598838</v>
      </c>
      <c r="Z30" s="53" cm="1">
        <f t="array" ref="Z30">(INDEX($S$26:$S$1024, MATCH($U30 &amp; " Educación primaria (nivel 1)", $C$26:$C$1024 &amp; " " &amp; $B$26:$B$1024, 0))+INDEX($S$26:$S$1024, MATCH($U30 &amp; " Educación primaria (nivel 2)", $C$26:$C$1024 &amp; " " &amp; $B$26:$B$1024, 0)) )/(INDEX($M$26:$M$1024, MATCH($U30 &amp; " Educación primaria (nivel 1)", $C$26:$C$1024 &amp; " " &amp; $B$26:$B$1024, 0))+INDEX($M$26:$M$1024, MATCH($U30 &amp; " Educación primaria (nivel 2)", $C$26:$C$1024 &amp; " " &amp; $B$26:$B$1024, 0)))</f>
        <v>0.56695215535437882</v>
      </c>
      <c r="AA30" s="53" cm="1">
        <f t="array" ref="AA30">INDEX($R$26:$R$1024, MATCH($U30 &amp; " Educación secundaria", $C$26:$C$1024 &amp; " " &amp; $B$26:$B$1024, 0))</f>
        <v>0.35081402061545219</v>
      </c>
      <c r="AB30" s="53" cm="1">
        <f t="array" ref="AB30">INDEX($R$26:$R$1024, MATCH($U30 &amp; " Educación Técnica (Educación Superior no Universitaria)", $C$26:$C$1024 &amp; " " &amp; $B$26:$B$1024, 0))</f>
        <v>0.27028512789081771</v>
      </c>
      <c r="AC30" s="53" cm="1">
        <f t="array" ref="AC30">INDEX($R$26:$R$1024, MATCH($U30 &amp; " Educación universitaria", $C$26:$C$1024 &amp; " " &amp; $B$26:$B$1024, 0))</f>
        <v>0.25675029645610159</v>
      </c>
      <c r="AD30" s="53" cm="1">
        <f t="array" ref="AD30">INDEX($R$26:$R$1024, MATCH($U30 &amp; " Post títulos y maestría", $C$26:$C$1024 &amp; " " &amp; $B$26:$B$1024, 0))</f>
        <v>0.19580600702713541</v>
      </c>
      <c r="AE30" s="53" cm="1">
        <f t="array" ref="AE30">INDEX($R$26:$R$1024, MATCH($U30 &amp; " Doctorado", $C$26:$C$1024 &amp; " " &amp; $B$26:$B$1024, 0))</f>
        <v>0.19513527316480919</v>
      </c>
      <c r="AF30" s="53" cm="1">
        <f t="array" ref="AF30">INDEX($R$26:$R$1024, MATCH($U30 &amp; " Nivel ignorado", $C$26:$C$1024 &amp; " " &amp; $B$26:$B$1024, 0))</f>
        <v>0.39913413799331532</v>
      </c>
    </row>
    <row r="31" spans="2:32" x14ac:dyDescent="0.25">
      <c r="B31" t="str">
        <f>+VLOOKUP(D31,[2]id!L:M,2,0)</f>
        <v>Educación preescolar</v>
      </c>
      <c r="C31">
        <v>2013</v>
      </c>
      <c r="D31">
        <v>2</v>
      </c>
      <c r="E31">
        <v>59214.468299619017</v>
      </c>
      <c r="F31">
        <v>12410.409835996959</v>
      </c>
      <c r="G31">
        <v>1688.3931546675931</v>
      </c>
      <c r="H31">
        <v>0</v>
      </c>
      <c r="I31">
        <v>4258.5730272535347</v>
      </c>
      <c r="J31">
        <v>0</v>
      </c>
      <c r="K31">
        <v>97.665290333404954</v>
      </c>
      <c r="L31">
        <v>0</v>
      </c>
      <c r="M31" s="22">
        <v>10722.016681329371</v>
      </c>
      <c r="N31" s="22">
        <v>4356.23831758694</v>
      </c>
      <c r="O31" s="53">
        <v>0.86395347317456583</v>
      </c>
      <c r="P31" s="53">
        <v>0</v>
      </c>
      <c r="Q31" s="53">
        <v>0.40628908227429023</v>
      </c>
      <c r="R31" s="53">
        <v>0.59371091772570983</v>
      </c>
      <c r="S31" s="22">
        <f t="shared" si="0"/>
        <v>6365.7783637424309</v>
      </c>
      <c r="U31">
        <v>2017</v>
      </c>
      <c r="V31" s="53" cm="1">
        <f t="array" ref="V31">INDEX($R$26:$R$1024, MATCH($U31 &amp; " Nunca estudió", $C$26:$C$1024 &amp; " " &amp; $B$26:$B$1024, 0))</f>
        <v>0.72264491768111117</v>
      </c>
      <c r="W31" s="53" cm="1">
        <f t="array" ref="W31">INDEX($R$26:$R$1024, MATCH($U31 &amp; " Educación preescolar", $C$26:$C$1024 &amp; " " &amp; $B$26:$B$1024, 0))</f>
        <v>0.47477996261810118</v>
      </c>
      <c r="X31" s="53" cm="1">
        <f t="array" ref="X31">INDEX($R$26:$R$1024, MATCH($U31 &amp; " Educación primaria (nivel 1)", $C$26:$C$1024 &amp; " " &amp; $B$26:$B$1024, 0))</f>
        <v>0.63300175883520904</v>
      </c>
      <c r="Y31" s="53" cm="1">
        <f t="array" ref="Y31">INDEX($R$26:$R$1024, MATCH($U31 &amp; " Educación primaria (nivel 2)", $C$26:$C$1024 &amp; " " &amp; $B$26:$B$1024, 0))</f>
        <v>0.53017389308861529</v>
      </c>
      <c r="Z31" s="53" cm="1">
        <f t="array" ref="Z31">(INDEX($S$26:$S$1024, MATCH($U31 &amp; " Educación primaria (nivel 1)", $C$26:$C$1024 &amp; " " &amp; $B$26:$B$1024, 0))+INDEX($S$26:$S$1024, MATCH($U31 &amp; " Educación primaria (nivel 2)", $C$26:$C$1024 &amp; " " &amp; $B$26:$B$1024, 0)) )/(INDEX($M$26:$M$1024, MATCH($U31 &amp; " Educación primaria (nivel 1)", $C$26:$C$1024 &amp; " " &amp; $B$26:$B$1024, 0))+INDEX($M$26:$M$1024, MATCH($U31 &amp; " Educación primaria (nivel 2)", $C$26:$C$1024 &amp; " " &amp; $B$26:$B$1024, 0)))</f>
        <v>0.57397483138788585</v>
      </c>
      <c r="AA31" s="53" cm="1">
        <f t="array" ref="AA31">INDEX($R$26:$R$1024, MATCH($U31 &amp; " Educación secundaria", $C$26:$C$1024 &amp; " " &amp; $B$26:$B$1024, 0))</f>
        <v>0.3761428204298487</v>
      </c>
      <c r="AB31" s="53" cm="1">
        <f t="array" ref="AB31">INDEX($R$26:$R$1024, MATCH($U31 &amp; " Educación Técnica (Educación Superior no Universitaria)", $C$26:$C$1024 &amp; " " &amp; $B$26:$B$1024, 0))</f>
        <v>0.26485384889415431</v>
      </c>
      <c r="AC31" s="53" cm="1">
        <f t="array" ref="AC31">INDEX($R$26:$R$1024, MATCH($U31 &amp; " Educación universitaria", $C$26:$C$1024 &amp; " " &amp; $B$26:$B$1024, 0))</f>
        <v>0.25460236589915158</v>
      </c>
      <c r="AD31" s="53" cm="1">
        <f t="array" ref="AD31">INDEX($R$26:$R$1024, MATCH($U31 &amp; " Post títulos y maestría", $C$26:$C$1024 &amp; " " &amp; $B$26:$B$1024, 0))</f>
        <v>0.23720760698036369</v>
      </c>
      <c r="AE31" s="53" cm="1">
        <f t="array" ref="AE31">INDEX($R$26:$R$1024, MATCH($U31 &amp; " Doctorado", $C$26:$C$1024 &amp; " " &amp; $B$26:$B$1024, 0))</f>
        <v>0.2452120276855054</v>
      </c>
      <c r="AF31" s="53" cm="1">
        <f t="array" ref="AF31">INDEX($R$26:$R$1024, MATCH($U31 &amp; " Nivel ignorado", $C$26:$C$1024 &amp; " " &amp; $B$26:$B$1024, 0))</f>
        <v>0.3859149463537993</v>
      </c>
    </row>
    <row r="32" spans="2:32" x14ac:dyDescent="0.25">
      <c r="B32" t="str">
        <f>+VLOOKUP(D32,[2]id!L:M,2,0)</f>
        <v>Educación Técnica (Educación Superior no Universitaria)</v>
      </c>
      <c r="C32">
        <v>2013</v>
      </c>
      <c r="D32">
        <v>6</v>
      </c>
      <c r="E32">
        <v>1347335.037676905</v>
      </c>
      <c r="F32">
        <v>1024456.4998065711</v>
      </c>
      <c r="G32">
        <v>56135.367748194898</v>
      </c>
      <c r="H32">
        <v>0</v>
      </c>
      <c r="I32">
        <v>702390.28575640195</v>
      </c>
      <c r="J32">
        <v>0</v>
      </c>
      <c r="K32">
        <v>44001.574657195808</v>
      </c>
      <c r="L32">
        <v>0</v>
      </c>
      <c r="M32" s="22">
        <v>968321.13205837598</v>
      </c>
      <c r="N32" s="22">
        <v>746391.86041359778</v>
      </c>
      <c r="O32" s="53">
        <v>0.94520473269602567</v>
      </c>
      <c r="P32" s="53">
        <v>0</v>
      </c>
      <c r="Q32" s="53">
        <v>0.77081025674507431</v>
      </c>
      <c r="R32" s="53">
        <v>0.22918974325492569</v>
      </c>
      <c r="S32" s="22">
        <f t="shared" si="0"/>
        <v>221929.2716447782</v>
      </c>
      <c r="U32">
        <v>2018</v>
      </c>
      <c r="V32" s="53" cm="1">
        <f t="array" ref="V32">INDEX($R$26:$R$1024, MATCH($U32 &amp; " Nunca estudió", $C$26:$C$1024 &amp; " " &amp; $B$26:$B$1024, 0))</f>
        <v>0.72367724805441958</v>
      </c>
      <c r="W32" s="53" cm="1">
        <f t="array" ref="W32">INDEX($R$26:$R$1024, MATCH($U32 &amp; " Educación preescolar", $C$26:$C$1024 &amp; " " &amp; $B$26:$B$1024, 0))</f>
        <v>0.48372437345230479</v>
      </c>
      <c r="X32" s="53" cm="1">
        <f t="array" ref="X32">INDEX($R$26:$R$1024, MATCH($U32 &amp; " Educación primaria (nivel 1)", $C$26:$C$1024 &amp; " " &amp; $B$26:$B$1024, 0))</f>
        <v>0.64223558524890967</v>
      </c>
      <c r="Y32" s="53" cm="1">
        <f t="array" ref="Y32">INDEX($R$26:$R$1024, MATCH($U32 &amp; " Educación primaria (nivel 2)", $C$26:$C$1024 &amp; " " &amp; $B$26:$B$1024, 0))</f>
        <v>0.53012678944985403</v>
      </c>
      <c r="Z32" s="53" cm="1">
        <f t="array" ref="Z32">(INDEX($S$26:$S$1024, MATCH($U32 &amp; " Educación primaria (nivel 1)", $C$26:$C$1024 &amp; " " &amp; $B$26:$B$1024, 0))+INDEX($S$26:$S$1024, MATCH($U32 &amp; " Educación primaria (nivel 2)", $C$26:$C$1024 &amp; " " &amp; $B$26:$B$1024, 0)) )/(INDEX($M$26:$M$1024, MATCH($U32 &amp; " Educación primaria (nivel 1)", $C$26:$C$1024 &amp; " " &amp; $B$26:$B$1024, 0))+INDEX($M$26:$M$1024, MATCH($U32 &amp; " Educación primaria (nivel 2)", $C$26:$C$1024 &amp; " " &amp; $B$26:$B$1024, 0)))</f>
        <v>0.57653184481256159</v>
      </c>
      <c r="AA32" s="53" cm="1">
        <f t="array" ref="AA32">INDEX($R$26:$R$1024, MATCH($U32 &amp; " Educación secundaria", $C$26:$C$1024 &amp; " " &amp; $B$26:$B$1024, 0))</f>
        <v>0.36569266537587403</v>
      </c>
      <c r="AB32" s="53" cm="1">
        <f t="array" ref="AB32">INDEX($R$26:$R$1024, MATCH($U32 &amp; " Educación Técnica (Educación Superior no Universitaria)", $C$26:$C$1024 &amp; " " &amp; $B$26:$B$1024, 0))</f>
        <v>0.24879702895313499</v>
      </c>
      <c r="AC32" s="53" cm="1">
        <f t="array" ref="AC32">INDEX($R$26:$R$1024, MATCH($U32 &amp; " Educación universitaria", $C$26:$C$1024 &amp; " " &amp; $B$26:$B$1024, 0))</f>
        <v>0.25719906351762939</v>
      </c>
      <c r="AD32" s="53" cm="1">
        <f t="array" ref="AD32">INDEX($R$26:$R$1024, MATCH($U32 &amp; " Post títulos y maestría", $C$26:$C$1024 &amp; " " &amp; $B$26:$B$1024, 0))</f>
        <v>0.1757386225109682</v>
      </c>
      <c r="AE32" s="53" cm="1">
        <f t="array" ref="AE32">INDEX($R$26:$R$1024, MATCH($U32 &amp; " Doctorado", $C$26:$C$1024 &amp; " " &amp; $B$26:$B$1024, 0))</f>
        <v>0.25614895528628051</v>
      </c>
      <c r="AF32" s="53" cm="1">
        <f t="array" ref="AF32">INDEX($R$26:$R$1024, MATCH($U32 &amp; " Nivel ignorado", $C$26:$C$1024 &amp; " " &amp; $B$26:$B$1024, 0))</f>
        <v>0.31634538749211932</v>
      </c>
    </row>
    <row r="33" spans="2:32" x14ac:dyDescent="0.25">
      <c r="B33" t="str">
        <f>+VLOOKUP(D33,[2]id!L:M,2,0)</f>
        <v>Post títulos y maestría</v>
      </c>
      <c r="C33">
        <v>2013</v>
      </c>
      <c r="D33">
        <v>8</v>
      </c>
      <c r="E33">
        <v>170390.20345639021</v>
      </c>
      <c r="F33">
        <v>158002.45435799219</v>
      </c>
      <c r="G33">
        <v>2960.5500822104182</v>
      </c>
      <c r="H33">
        <v>0</v>
      </c>
      <c r="I33">
        <v>113332.6837543896</v>
      </c>
      <c r="J33">
        <v>0</v>
      </c>
      <c r="K33">
        <v>13811.19365640572</v>
      </c>
      <c r="L33">
        <v>0</v>
      </c>
      <c r="M33" s="22">
        <v>155041.9042757818</v>
      </c>
      <c r="N33" s="22">
        <v>127143.87741079531</v>
      </c>
      <c r="O33" s="53">
        <v>0.98126263231644117</v>
      </c>
      <c r="P33" s="53">
        <v>0</v>
      </c>
      <c r="Q33" s="53">
        <v>0.82006137634014942</v>
      </c>
      <c r="R33" s="53">
        <v>0.17993862365985061</v>
      </c>
      <c r="S33" s="22">
        <f t="shared" si="0"/>
        <v>27898.026864986488</v>
      </c>
      <c r="U33">
        <v>2019</v>
      </c>
      <c r="V33" s="53" cm="1">
        <f t="array" ref="V33">INDEX($R$26:$R$1024, MATCH($U33 &amp; " Nunca estudió", $C$26:$C$1024 &amp; " " &amp; $B$26:$B$1024, 0))</f>
        <v>0.67739854997755589</v>
      </c>
      <c r="W33" s="53" cm="1">
        <f t="array" ref="W33">INDEX($R$26:$R$1024, MATCH($U33 &amp; " Educación preescolar", $C$26:$C$1024 &amp; " " &amp; $B$26:$B$1024, 0))</f>
        <v>0.40815824440283582</v>
      </c>
      <c r="X33" s="53" cm="1">
        <f t="array" ref="X33">INDEX($R$26:$R$1024, MATCH($U33 &amp; " Educación primaria (nivel 1)", $C$26:$C$1024 &amp; " " &amp; $B$26:$B$1024, 0))</f>
        <v>0.63420700175766276</v>
      </c>
      <c r="Y33" s="53" cm="1">
        <f t="array" ref="Y33">INDEX($R$26:$R$1024, MATCH($U33 &amp; " Educación primaria (nivel 2)", $C$26:$C$1024 &amp; " " &amp; $B$26:$B$1024, 0))</f>
        <v>0.50929079263209154</v>
      </c>
      <c r="Z33" s="53" cm="1">
        <f t="array" ref="Z33">(INDEX($S$26:$S$1024, MATCH($U33 &amp; " Educación primaria (nivel 1)", $C$26:$C$1024 &amp; " " &amp; $B$26:$B$1024, 0))+INDEX($S$26:$S$1024, MATCH($U33 &amp; " Educación primaria (nivel 2)", $C$26:$C$1024 &amp; " " &amp; $B$26:$B$1024, 0)) )/(INDEX($M$26:$M$1024, MATCH($U33 &amp; " Educación primaria (nivel 1)", $C$26:$C$1024 &amp; " " &amp; $B$26:$B$1024, 0))+INDEX($M$26:$M$1024, MATCH($U33 &amp; " Educación primaria (nivel 2)", $C$26:$C$1024 &amp; " " &amp; $B$26:$B$1024, 0)))</f>
        <v>0.55980976784633973</v>
      </c>
      <c r="AA33" s="53" cm="1">
        <f t="array" ref="AA33">INDEX($R$26:$R$1024, MATCH($U33 &amp; " Educación secundaria", $C$26:$C$1024 &amp; " " &amp; $B$26:$B$1024, 0))</f>
        <v>0.36569539260235889</v>
      </c>
      <c r="AB33" s="53" cm="1">
        <f t="array" ref="AB33">INDEX($R$26:$R$1024, MATCH($U33 &amp; " Educación Técnica (Educación Superior no Universitaria)", $C$26:$C$1024 &amp; " " &amp; $B$26:$B$1024, 0))</f>
        <v>0.25476799730018712</v>
      </c>
      <c r="AC33" s="53" cm="1">
        <f t="array" ref="AC33">INDEX($R$26:$R$1024, MATCH($U33 &amp; " Educación universitaria", $C$26:$C$1024 &amp; " " &amp; $B$26:$B$1024, 0))</f>
        <v>0.20241215845213231</v>
      </c>
      <c r="AD33" s="53" cm="1">
        <f t="array" ref="AD33">INDEX($R$26:$R$1024, MATCH($U33 &amp; " Post títulos y maestría", $C$26:$C$1024 &amp; " " &amp; $B$26:$B$1024, 0))</f>
        <v>0.12889956856168269</v>
      </c>
      <c r="AE33" s="53" cm="1">
        <f t="array" ref="AE33">INDEX($R$26:$R$1024, MATCH($U33 &amp; " Doctorado", $C$26:$C$1024 &amp; " " &amp; $B$26:$B$1024, 0))</f>
        <v>0.11260541691107551</v>
      </c>
      <c r="AF33" s="53" cm="1">
        <f t="array" ref="AF33">INDEX($R$26:$R$1024, MATCH($U33 &amp; " Nivel ignorado", $C$26:$C$1024 &amp; " " &amp; $B$26:$B$1024, 0))</f>
        <v>9.369738252230897E-2</v>
      </c>
    </row>
    <row r="34" spans="2:32" x14ac:dyDescent="0.25">
      <c r="B34" t="str">
        <f>+VLOOKUP(D34,[2]id!L:M,2,0)</f>
        <v>Nivel ignorado</v>
      </c>
      <c r="C34">
        <v>2013</v>
      </c>
      <c r="D34">
        <v>999</v>
      </c>
      <c r="E34">
        <v>39834.77134861931</v>
      </c>
      <c r="F34">
        <v>23928.15135942282</v>
      </c>
      <c r="G34">
        <v>769.31052085812246</v>
      </c>
      <c r="H34">
        <v>0</v>
      </c>
      <c r="I34">
        <v>16656.837260621291</v>
      </c>
      <c r="J34">
        <v>0</v>
      </c>
      <c r="K34">
        <v>286.87055990944077</v>
      </c>
      <c r="L34">
        <v>0</v>
      </c>
      <c r="M34" s="22">
        <v>23158.840838564702</v>
      </c>
      <c r="N34" s="22">
        <v>16943.70782053073</v>
      </c>
      <c r="O34" s="53">
        <v>0.96784914516368725</v>
      </c>
      <c r="P34" s="53">
        <v>0</v>
      </c>
      <c r="Q34" s="53">
        <v>0.73163022012378254</v>
      </c>
      <c r="R34" s="53">
        <v>0.26836977987621752</v>
      </c>
      <c r="S34" s="22">
        <f t="shared" si="0"/>
        <v>6215.1330180339719</v>
      </c>
      <c r="U34">
        <v>2020</v>
      </c>
      <c r="V34" s="53" cm="1">
        <f t="array" ref="V34">INDEX($R$26:$R$1024, MATCH($U34 &amp; " Nunca estudió", $C$26:$C$1024 &amp; " " &amp; $B$26:$B$1024, 0))</f>
        <v>0.7212427781768026</v>
      </c>
      <c r="W34" s="53" cm="1">
        <f t="array" ref="W34">INDEX($R$26:$R$1024, MATCH($U34 &amp; " Educación preescolar", $C$26:$C$1024 &amp; " " &amp; $B$26:$B$1024, 0))</f>
        <v>0.25931148691384431</v>
      </c>
      <c r="X34" s="53" cm="1">
        <f t="array" ref="X34">INDEX($R$26:$R$1024, MATCH($U34 &amp; " Educación primaria (nivel 1)", $C$26:$C$1024 &amp; " " &amp; $B$26:$B$1024, 0))</f>
        <v>0.58606592593401696</v>
      </c>
      <c r="Y34" s="53" cm="1">
        <f t="array" ref="Y34">INDEX($R$26:$R$1024, MATCH($U34 &amp; " Educación primaria (nivel 2)", $C$26:$C$1024 &amp; " " &amp; $B$26:$B$1024, 0))</f>
        <v>0.49016214189392893</v>
      </c>
      <c r="Z34" s="53" cm="1">
        <f t="array" ref="Z34">(INDEX($S$26:$S$1024, MATCH($U34 &amp; " Educación primaria (nivel 1)", $C$26:$C$1024 &amp; " " &amp; $B$26:$B$1024, 0))+INDEX($S$26:$S$1024, MATCH($U34 &amp; " Educación primaria (nivel 2)", $C$26:$C$1024 &amp; " " &amp; $B$26:$B$1024, 0)) )/(INDEX($M$26:$M$1024, MATCH($U34 &amp; " Educación primaria (nivel 1)", $C$26:$C$1024 &amp; " " &amp; $B$26:$B$1024, 0))+INDEX($M$26:$M$1024, MATCH($U34 &amp; " Educación primaria (nivel 2)", $C$26:$C$1024 &amp; " " &amp; $B$26:$B$1024, 0)))</f>
        <v>0.52565836273056343</v>
      </c>
      <c r="AA34" s="53" cm="1">
        <f t="array" ref="AA34">INDEX($R$26:$R$1024, MATCH($U34 &amp; " Educación secundaria", $C$26:$C$1024 &amp; " " &amp; $B$26:$B$1024, 0))</f>
        <v>0.34910288908099679</v>
      </c>
      <c r="AB34" s="53" cm="1">
        <f t="array" ref="AB34">INDEX($R$26:$R$1024, MATCH($U34 &amp; " Educación Técnica (Educación Superior no Universitaria)", $C$26:$C$1024 &amp; " " &amp; $B$26:$B$1024, 0))</f>
        <v>0.22313165977992591</v>
      </c>
      <c r="AC34" s="53" cm="1">
        <f t="array" ref="AC34">INDEX($R$26:$R$1024, MATCH($U34 &amp; " Educación universitaria", $C$26:$C$1024 &amp; " " &amp; $B$26:$B$1024, 0))</f>
        <v>0.19456344562903249</v>
      </c>
      <c r="AD34" s="53" cm="1">
        <f t="array" ref="AD34">INDEX($R$26:$R$1024, MATCH($U34 &amp; " Post títulos y maestría", $C$26:$C$1024 &amp; " " &amp; $B$26:$B$1024, 0))</f>
        <v>0.1360475923959639</v>
      </c>
      <c r="AE34" s="53" cm="1">
        <f t="array" ref="AE34">INDEX($R$26:$R$1024, MATCH($U34 &amp; " Doctorado", $C$26:$C$1024 &amp; " " &amp; $B$26:$B$1024, 0))</f>
        <v>9.2795377633522413E-2</v>
      </c>
      <c r="AF34" s="53" cm="1">
        <f t="array" ref="AF34">INDEX($R$26:$R$1024, MATCH($U34 &amp; " Nivel ignorado", $C$26:$C$1024 &amp; " " &amp; $B$26:$B$1024, 0))</f>
        <v>0.33874786411265578</v>
      </c>
    </row>
    <row r="35" spans="2:32" x14ac:dyDescent="0.25">
      <c r="B35" t="str">
        <f>+VLOOKUP(D35,[2]id!L:M,2,0)</f>
        <v>Doctorado</v>
      </c>
      <c r="C35">
        <v>2013</v>
      </c>
      <c r="D35">
        <v>9</v>
      </c>
      <c r="E35">
        <v>31883.495795982901</v>
      </c>
      <c r="F35">
        <v>26784.198307619379</v>
      </c>
      <c r="G35">
        <v>571.54067606205126</v>
      </c>
      <c r="H35">
        <v>0</v>
      </c>
      <c r="I35">
        <v>17410.48729384119</v>
      </c>
      <c r="J35">
        <v>0</v>
      </c>
      <c r="K35">
        <v>1018.637004837622</v>
      </c>
      <c r="L35">
        <v>0</v>
      </c>
      <c r="M35" s="22">
        <v>26212.657631557329</v>
      </c>
      <c r="N35" s="22">
        <v>18429.124298678809</v>
      </c>
      <c r="O35" s="53">
        <v>0.97866127372946377</v>
      </c>
      <c r="P35" s="53">
        <v>0</v>
      </c>
      <c r="Q35" s="53">
        <v>0.70306203047843774</v>
      </c>
      <c r="R35" s="53">
        <v>0.29693796952156232</v>
      </c>
      <c r="S35" s="22">
        <f t="shared" si="0"/>
        <v>7783.53333287852</v>
      </c>
      <c r="U35">
        <v>2021</v>
      </c>
      <c r="V35" s="53" cm="1">
        <f t="array" ref="V35">INDEX($R$26:$R$1024, MATCH($U35 &amp; " Nunca estudió", $C$26:$C$1024 &amp; " " &amp; $B$26:$B$1024, 0))</f>
        <v>0.71059339247493414</v>
      </c>
      <c r="W35" s="53" cm="1">
        <f t="array" ref="W35">INDEX($R$26:$R$1024, MATCH($U35 &amp; " Educación preescolar", $C$26:$C$1024 &amp; " " &amp; $B$26:$B$1024, 0))</f>
        <v>1</v>
      </c>
      <c r="X35" s="53" cm="1">
        <f t="array" ref="X35">INDEX($R$26:$R$1024, MATCH($U35 &amp; " Educación primaria (nivel 1)", $C$26:$C$1024 &amp; " " &amp; $B$26:$B$1024, 0))</f>
        <v>0.60908251033993355</v>
      </c>
      <c r="Y35" s="53" cm="1">
        <f t="array" ref="Y35">INDEX($R$26:$R$1024, MATCH($U35 &amp; " Educación primaria (nivel 2)", $C$26:$C$1024 &amp; " " &amp; $B$26:$B$1024, 0))</f>
        <v>0.51833083940425007</v>
      </c>
      <c r="Z35" s="53" cm="1">
        <f t="array" ref="Z35">(INDEX($S$26:$S$1024, MATCH($U35 &amp; " Educación primaria (nivel 1)", $C$26:$C$1024 &amp; " " &amp; $B$26:$B$1024, 0))+INDEX($S$26:$S$1024, MATCH($U35 &amp; " Educación primaria (nivel 2)", $C$26:$C$1024 &amp; " " &amp; $B$26:$B$1024, 0)) )/(INDEX($M$26:$M$1024, MATCH($U35 &amp; " Educación primaria (nivel 1)", $C$26:$C$1024 &amp; " " &amp; $B$26:$B$1024, 0))+INDEX($M$26:$M$1024, MATCH($U35 &amp; " Educación primaria (nivel 2)", $C$26:$C$1024 &amp; " " &amp; $B$26:$B$1024, 0)))</f>
        <v>0.55352113677538362</v>
      </c>
      <c r="AA35" s="53" cm="1">
        <f t="array" ref="AA35">INDEX($R$26:$R$1024, MATCH($U35 &amp; " Educación secundaria", $C$26:$C$1024 &amp; " " &amp; $B$26:$B$1024, 0))</f>
        <v>0.36523756141927688</v>
      </c>
      <c r="AB35" s="53" cm="1">
        <f t="array" ref="AB35">INDEX($R$26:$R$1024, MATCH($U35 &amp; " Educación Técnica (Educación Superior no Universitaria)", $C$26:$C$1024 &amp; " " &amp; $B$26:$B$1024, 0))</f>
        <v>0.22386966047418591</v>
      </c>
      <c r="AC35" s="53" cm="1">
        <f t="array" ref="AC35">INDEX($R$26:$R$1024, MATCH($U35 &amp; " Educación universitaria", $C$26:$C$1024 &amp; " " &amp; $B$26:$B$1024, 0))</f>
        <v>0.18239275070365299</v>
      </c>
      <c r="AD35" s="53" cm="1">
        <f t="array" ref="AD35">INDEX($R$26:$R$1024, MATCH($U35 &amp; " Post títulos y maestría", $C$26:$C$1024 &amp; " " &amp; $B$26:$B$1024, 0))</f>
        <v>8.0659592814153913E-2</v>
      </c>
      <c r="AE35" s="53" cm="1">
        <f t="array" ref="AE35">INDEX($R$26:$R$1024, MATCH($U35 &amp; " Doctorado", $C$26:$C$1024 &amp; " " &amp; $B$26:$B$1024, 0))</f>
        <v>0.12560919427119091</v>
      </c>
      <c r="AF35" s="53" cm="1">
        <f t="array" ref="AF35">INDEX($R$26:$R$1024, MATCH($U35 &amp; " Nivel ignorado", $C$26:$C$1024 &amp; " " &amp; $B$26:$B$1024, 0))</f>
        <v>0.25474334186039449</v>
      </c>
    </row>
    <row r="36" spans="2:32" x14ac:dyDescent="0.25">
      <c r="B36" t="str">
        <f>+VLOOKUP(D36,[2]id!L:M,2,0)</f>
        <v>Educación secundaria</v>
      </c>
      <c r="C36">
        <v>2014</v>
      </c>
      <c r="D36">
        <v>5</v>
      </c>
      <c r="E36">
        <v>6267921.235678127</v>
      </c>
      <c r="F36">
        <v>3926563.6451377328</v>
      </c>
      <c r="G36">
        <v>253555.60231810939</v>
      </c>
      <c r="H36">
        <v>0</v>
      </c>
      <c r="I36">
        <v>2290802.1827964731</v>
      </c>
      <c r="J36">
        <v>0</v>
      </c>
      <c r="K36">
        <v>108065.37694233601</v>
      </c>
      <c r="L36">
        <v>0</v>
      </c>
      <c r="M36" s="22">
        <v>3673008.0428196238</v>
      </c>
      <c r="N36" s="22">
        <v>2398867.5597388088</v>
      </c>
      <c r="O36" s="53">
        <v>0.93542557176372587</v>
      </c>
      <c r="P36" s="53">
        <v>0</v>
      </c>
      <c r="Q36" s="53">
        <v>0.65310708056530486</v>
      </c>
      <c r="R36" s="53">
        <v>0.34689291943469508</v>
      </c>
      <c r="S36" s="22">
        <f t="shared" si="0"/>
        <v>1274140.4830808151</v>
      </c>
      <c r="U36">
        <v>2022</v>
      </c>
      <c r="V36" s="53" cm="1">
        <f t="array" ref="V36">INDEX($R$26:$R$1024, MATCH($U36 &amp; " Nunca estudió", $C$26:$C$1024 &amp; " " &amp; $B$26:$B$1024, 0))</f>
        <v>0.70940850743833972</v>
      </c>
      <c r="W36" s="53" cm="1">
        <f t="array" ref="W36">INDEX($R$26:$R$1024, MATCH($U36 &amp; " Educación preescolar", $C$26:$C$1024 &amp; " " &amp; $B$26:$B$1024, 0))</f>
        <v>0</v>
      </c>
      <c r="X36" s="53" cm="1">
        <f t="array" ref="X36">INDEX($R$26:$R$1024, MATCH($U36 &amp; " Educación primaria (nivel 1)", $C$26:$C$1024 &amp; " " &amp; $B$26:$B$1024, 0))</f>
        <v>0.61219202337788592</v>
      </c>
      <c r="Y36" s="53" cm="1">
        <f t="array" ref="Y36">INDEX($R$26:$R$1024, MATCH($U36 &amp; " Educación primaria (nivel 2)", $C$26:$C$1024 &amp; " " &amp; $B$26:$B$1024, 0))</f>
        <v>0.52251900423285702</v>
      </c>
      <c r="Z36" s="53" cm="1">
        <f t="array" ref="Z36">(INDEX($S$26:$S$1024, MATCH($U36 &amp; " Educación primaria (nivel 1)", $C$26:$C$1024 &amp; " " &amp; $B$26:$B$1024, 0))+INDEX($S$26:$S$1024, MATCH($U36 &amp; " Educación primaria (nivel 2)", $C$26:$C$1024 &amp; " " &amp; $B$26:$B$1024, 0)) )/(INDEX($M$26:$M$1024, MATCH($U36 &amp; " Educación primaria (nivel 1)", $C$26:$C$1024 &amp; " " &amp; $B$26:$B$1024, 0))+INDEX($M$26:$M$1024, MATCH($U36 &amp; " Educación primaria (nivel 2)", $C$26:$C$1024 &amp; " " &amp; $B$26:$B$1024, 0)))</f>
        <v>0.55594311822690456</v>
      </c>
      <c r="AA36" s="53" cm="1">
        <f t="array" ref="AA36">INDEX($R$26:$R$1024, MATCH($U36 &amp; " Educación secundaria", $C$26:$C$1024 &amp; " " &amp; $B$26:$B$1024, 0))</f>
        <v>0.3588235271293585</v>
      </c>
      <c r="AB36" s="53" cm="1">
        <f t="array" ref="AB36">INDEX($R$26:$R$1024, MATCH($U36 &amp; " Educación Técnica (Educación Superior no Universitaria)", $C$26:$C$1024 &amp; " " &amp; $B$26:$B$1024, 0))</f>
        <v>0.21304451948310499</v>
      </c>
      <c r="AC36" s="53" cm="1">
        <f t="array" ref="AC36">INDEX($R$26:$R$1024, MATCH($U36 &amp; " Educación universitaria", $C$26:$C$1024 &amp; " " &amp; $B$26:$B$1024, 0))</f>
        <v>0.1782949667404061</v>
      </c>
      <c r="AD36" s="53" cm="1">
        <f t="array" ref="AD36">INDEX($R$26:$R$1024, MATCH($U36 &amp; " Post títulos y maestría", $C$26:$C$1024 &amp; " " &amp; $B$26:$B$1024, 0))</f>
        <v>6.8914365317919168E-2</v>
      </c>
      <c r="AE36" s="53" cm="1">
        <f t="array" ref="AE36">INDEX($R$26:$R$1024, MATCH($U36 &amp; " Doctorado", $C$26:$C$1024 &amp; " " &amp; $B$26:$B$1024, 0))</f>
        <v>1.8957869783864819E-2</v>
      </c>
      <c r="AF36" s="53" cm="1">
        <f t="array" ref="AF36">INDEX($R$26:$R$1024, MATCH($U36 &amp; " Nivel ignorado", $C$26:$C$1024 &amp; " " &amp; $B$26:$B$1024, 0))</f>
        <v>0.29347998695891092</v>
      </c>
    </row>
    <row r="37" spans="2:32" x14ac:dyDescent="0.25">
      <c r="B37" t="str">
        <f>+VLOOKUP(D37,[2]id!L:M,2,0)</f>
        <v>Educación universitaria</v>
      </c>
      <c r="C37">
        <v>2014</v>
      </c>
      <c r="D37">
        <v>7</v>
      </c>
      <c r="E37">
        <v>2586742.8540891861</v>
      </c>
      <c r="F37">
        <v>1813606.493368319</v>
      </c>
      <c r="G37">
        <v>106768.3985233706</v>
      </c>
      <c r="H37">
        <v>0</v>
      </c>
      <c r="I37">
        <v>1165941.529169318</v>
      </c>
      <c r="J37">
        <v>0</v>
      </c>
      <c r="K37">
        <v>100955.3417947906</v>
      </c>
      <c r="L37">
        <v>0</v>
      </c>
      <c r="M37" s="22">
        <v>1706838.094844949</v>
      </c>
      <c r="N37" s="22">
        <v>1266896.870964108</v>
      </c>
      <c r="O37" s="53">
        <v>0.94112923673697524</v>
      </c>
      <c r="P37" s="53">
        <v>0</v>
      </c>
      <c r="Q37" s="53">
        <v>0.74224782935794209</v>
      </c>
      <c r="R37" s="53">
        <v>0.25775217064205791</v>
      </c>
      <c r="S37" s="22">
        <f t="shared" si="0"/>
        <v>439941.22388084093</v>
      </c>
    </row>
    <row r="38" spans="2:32" x14ac:dyDescent="0.25">
      <c r="B38" t="str">
        <f>+VLOOKUP(D38,[2]id!L:M,2,0)</f>
        <v>Educación primaria (nivel 2)</v>
      </c>
      <c r="C38">
        <v>2014</v>
      </c>
      <c r="D38">
        <v>4</v>
      </c>
      <c r="E38">
        <v>1411237.9399534019</v>
      </c>
      <c r="F38">
        <v>871923.31262898492</v>
      </c>
      <c r="G38">
        <v>47431.74638711103</v>
      </c>
      <c r="H38">
        <v>0</v>
      </c>
      <c r="I38">
        <v>395098.33422410302</v>
      </c>
      <c r="J38">
        <v>0</v>
      </c>
      <c r="K38">
        <v>16666.16411607627</v>
      </c>
      <c r="L38">
        <v>0</v>
      </c>
      <c r="M38" s="22">
        <v>824491.56624187389</v>
      </c>
      <c r="N38" s="22">
        <v>411764.49834017933</v>
      </c>
      <c r="O38" s="53">
        <v>0.94560101135030228</v>
      </c>
      <c r="P38" s="53">
        <v>0</v>
      </c>
      <c r="Q38" s="53">
        <v>0.4994162647618684</v>
      </c>
      <c r="R38" s="53">
        <v>0.5005837352381316</v>
      </c>
      <c r="S38" s="22">
        <f t="shared" si="0"/>
        <v>412727.06790169457</v>
      </c>
      <c r="X38" s="182"/>
      <c r="Y38" s="182"/>
      <c r="Z38" s="182"/>
      <c r="AA38" s="182"/>
    </row>
    <row r="39" spans="2:32" x14ac:dyDescent="0.25">
      <c r="B39" t="str">
        <f>+VLOOKUP(D39,[2]id!L:M,2,0)</f>
        <v>Educación Técnica (Educación Superior no Universitaria)</v>
      </c>
      <c r="C39">
        <v>2014</v>
      </c>
      <c r="D39">
        <v>6</v>
      </c>
      <c r="E39">
        <v>1505901.062335039</v>
      </c>
      <c r="F39">
        <v>1138554.316167129</v>
      </c>
      <c r="G39">
        <v>80375.06194249382</v>
      </c>
      <c r="H39">
        <v>0</v>
      </c>
      <c r="I39">
        <v>733752.83713356149</v>
      </c>
      <c r="J39">
        <v>0</v>
      </c>
      <c r="K39">
        <v>43582.54377274937</v>
      </c>
      <c r="L39">
        <v>0</v>
      </c>
      <c r="M39" s="22">
        <v>1058179.254224635</v>
      </c>
      <c r="N39" s="22">
        <v>777335.38090631086</v>
      </c>
      <c r="O39" s="53">
        <v>0.92940603640845931</v>
      </c>
      <c r="P39" s="53">
        <v>0</v>
      </c>
      <c r="Q39" s="53">
        <v>0.73459707115113626</v>
      </c>
      <c r="R39" s="53">
        <v>0.26540292884886368</v>
      </c>
      <c r="S39" s="22">
        <f t="shared" si="0"/>
        <v>280843.8733183241</v>
      </c>
      <c r="U39" s="181" t="s">
        <v>417</v>
      </c>
      <c r="V39" s="180"/>
      <c r="W39" s="180"/>
      <c r="X39" s="180"/>
      <c r="Y39" s="180"/>
      <c r="Z39" s="180"/>
      <c r="AA39" s="180"/>
      <c r="AB39" s="180"/>
      <c r="AC39" s="180"/>
    </row>
    <row r="40" spans="2:32" x14ac:dyDescent="0.25">
      <c r="B40" t="str">
        <f>+VLOOKUP(D40,[2]id!L:M,2,0)</f>
        <v>Educación primaria (nivel 1)</v>
      </c>
      <c r="C40">
        <v>2014</v>
      </c>
      <c r="D40">
        <v>3</v>
      </c>
      <c r="E40">
        <v>1828427.032489009</v>
      </c>
      <c r="F40">
        <v>738690.25161704887</v>
      </c>
      <c r="G40">
        <v>32726.34739007743</v>
      </c>
      <c r="H40">
        <v>0</v>
      </c>
      <c r="I40">
        <v>264426.00329538161</v>
      </c>
      <c r="J40">
        <v>0</v>
      </c>
      <c r="K40">
        <v>11426.337818080719</v>
      </c>
      <c r="L40">
        <v>0</v>
      </c>
      <c r="M40" s="22">
        <v>705963.90422697144</v>
      </c>
      <c r="N40" s="22">
        <v>275852.34111346229</v>
      </c>
      <c r="O40" s="53">
        <v>0.95569679264287433</v>
      </c>
      <c r="P40" s="53">
        <v>0</v>
      </c>
      <c r="Q40" s="53">
        <v>0.39074567334362492</v>
      </c>
      <c r="R40" s="53">
        <v>0.60925432665637502</v>
      </c>
      <c r="S40" s="22">
        <f t="shared" si="0"/>
        <v>430111.56311350915</v>
      </c>
      <c r="U40" s="180" t="s">
        <v>377</v>
      </c>
      <c r="V40" s="8" t="s">
        <v>416</v>
      </c>
      <c r="W40" s="8" t="s">
        <v>415</v>
      </c>
      <c r="X40" s="8" t="s">
        <v>414</v>
      </c>
      <c r="Y40" s="8" t="s">
        <v>413</v>
      </c>
      <c r="Z40" s="8" t="s">
        <v>488</v>
      </c>
      <c r="AA40" s="8" t="s">
        <v>412</v>
      </c>
      <c r="AB40" s="8" t="s">
        <v>411</v>
      </c>
      <c r="AC40" s="8" t="s">
        <v>410</v>
      </c>
      <c r="AD40" s="8" t="s">
        <v>409</v>
      </c>
      <c r="AE40" s="8" t="s">
        <v>408</v>
      </c>
      <c r="AF40" s="8" t="s">
        <v>407</v>
      </c>
    </row>
    <row r="41" spans="2:32" x14ac:dyDescent="0.25">
      <c r="B41" t="str">
        <f>+VLOOKUP(D41,[2]id!L:M,2,0)</f>
        <v>Educación preescolar</v>
      </c>
      <c r="C41">
        <v>2014</v>
      </c>
      <c r="D41">
        <v>2</v>
      </c>
      <c r="E41">
        <v>63229.764691388918</v>
      </c>
      <c r="F41">
        <v>11623.62415018398</v>
      </c>
      <c r="G41">
        <v>804.34443204519914</v>
      </c>
      <c r="H41">
        <v>0</v>
      </c>
      <c r="I41">
        <v>4645.0629857259364</v>
      </c>
      <c r="J41">
        <v>0</v>
      </c>
      <c r="K41">
        <v>0</v>
      </c>
      <c r="L41">
        <v>0</v>
      </c>
      <c r="M41" s="22">
        <v>10819.27971813878</v>
      </c>
      <c r="N41" s="22">
        <v>4645.0629857259364</v>
      </c>
      <c r="O41" s="53">
        <v>0.93080089121494269</v>
      </c>
      <c r="P41" s="53">
        <v>0</v>
      </c>
      <c r="Q41" s="53">
        <v>0.42933199868549288</v>
      </c>
      <c r="R41" s="53">
        <v>0.57066800131450712</v>
      </c>
      <c r="S41" s="22">
        <f t="shared" si="0"/>
        <v>6174.2167324128432</v>
      </c>
      <c r="U41">
        <v>2013</v>
      </c>
      <c r="V41" s="22" cm="1">
        <f t="array" ref="V41">INDEX($S$26:$S$1024, MATCH($U41 &amp; " Nunca estudió", $C$26:$C$1024 &amp; " " &amp; $B$26:$B$1024, 0))</f>
        <v>42756.570659570927</v>
      </c>
      <c r="W41" s="22" cm="1">
        <f t="array" ref="W41">INDEX($S$26:$S$1024, MATCH($U41 &amp; " Educación preescolar", $C$26:$C$1024 &amp; " " &amp; $B$26:$B$1024, 0))</f>
        <v>6365.7783637424309</v>
      </c>
      <c r="X41" s="22" cm="1">
        <f t="array" ref="X41">INDEX($S$26:$S$1024, MATCH($U41 &amp; " Educación primaria (nivel 1)", $C$26:$C$1024 &amp; " " &amp; $B$26:$B$1024, 0))</f>
        <v>423657.35500886379</v>
      </c>
      <c r="Y41" s="22" cm="1">
        <f t="array" ref="Y41">INDEX($S$26:$S$1024, MATCH($U41 &amp; " Educación primaria (nivel 2)", $C$26:$C$1024 &amp; " " &amp; $B$26:$B$1024, 0))</f>
        <v>418773.82994170085</v>
      </c>
      <c r="Z41" s="22">
        <f>+X41+Y41</f>
        <v>842431.18495056464</v>
      </c>
      <c r="AA41" s="22" cm="1">
        <f t="array" ref="AA41">INDEX($S$26:$S$1024, MATCH($U41 &amp; " Educación secundaria", $C$26:$C$1024 &amp; " " &amp; $B$26:$B$1024, 0))</f>
        <v>1239982.8478784789</v>
      </c>
      <c r="AB41" s="22" cm="1">
        <f t="array" ref="AB41">INDEX($S$26:$S$1024, MATCH($U41 &amp; " Educación Técnica (Educación Superior no Universitaria)", $C$26:$C$1024 &amp; " " &amp; $B$26:$B$1024, 0))</f>
        <v>221929.2716447782</v>
      </c>
      <c r="AC41" s="22" cm="1">
        <f t="array" ref="AC41">INDEX($S$26:$S$1024, MATCH($U41 &amp; " Educación universitaria", $C$26:$C$1024 &amp; " " &amp; $B$26:$B$1024, 0))</f>
        <v>406680.73843320017</v>
      </c>
      <c r="AD41" s="22" cm="1">
        <f t="array" ref="AD41">INDEX($S$26:$S$1024, MATCH($U41 &amp; " Post títulos y maestría", $C$26:$C$1024 &amp; " " &amp; $B$26:$B$1024, 0))</f>
        <v>27898.026864986488</v>
      </c>
      <c r="AE41" s="22" cm="1">
        <f t="array" ref="AE41">INDEX($S$26:$S$1024, MATCH($U41 &amp; " Doctorado", $C$26:$C$1024 &amp; " " &amp; $B$26:$B$1024, 0))</f>
        <v>7783.53333287852</v>
      </c>
      <c r="AF41" s="22" cm="1">
        <f t="array" ref="AF41">INDEX($S$26:$S$1024, MATCH($U41 &amp; " Nivel ignorado", $C$26:$C$1024 &amp; " " &amp; $B$26:$B$1024, 0))</f>
        <v>6215.1330180339719</v>
      </c>
    </row>
    <row r="42" spans="2:32" x14ac:dyDescent="0.25">
      <c r="B42" t="str">
        <f>+VLOOKUP(D42,[2]id!L:M,2,0)</f>
        <v>Nunca estudió</v>
      </c>
      <c r="C42">
        <v>2014</v>
      </c>
      <c r="D42">
        <v>1</v>
      </c>
      <c r="E42">
        <v>230311.39613838869</v>
      </c>
      <c r="F42">
        <v>53663.71096308899</v>
      </c>
      <c r="G42">
        <v>1585.543725809657</v>
      </c>
      <c r="H42">
        <v>0</v>
      </c>
      <c r="I42">
        <v>16924.58340117379</v>
      </c>
      <c r="J42">
        <v>0</v>
      </c>
      <c r="K42">
        <v>585.15196555661907</v>
      </c>
      <c r="L42">
        <v>0</v>
      </c>
      <c r="M42" s="22">
        <v>52078.167237279333</v>
      </c>
      <c r="N42" s="22">
        <v>17509.735366730409</v>
      </c>
      <c r="O42" s="53">
        <v>0.97045407972437414</v>
      </c>
      <c r="P42" s="53">
        <v>0</v>
      </c>
      <c r="Q42" s="53">
        <v>0.33622026840830038</v>
      </c>
      <c r="R42" s="53">
        <v>0.66377973159169956</v>
      </c>
      <c r="S42" s="22">
        <f t="shared" si="0"/>
        <v>34568.431870548928</v>
      </c>
      <c r="U42">
        <v>2014</v>
      </c>
      <c r="V42" s="22" cm="1">
        <f t="array" ref="V42">INDEX($S$26:$S$1024, MATCH($U42 &amp; " Nunca estudió", $C$26:$C$1024 &amp; " " &amp; $B$26:$B$1024, 0))</f>
        <v>34568.431870548928</v>
      </c>
      <c r="W42" s="22" cm="1">
        <f t="array" ref="W42">INDEX($S$26:$S$1024, MATCH($U42 &amp; " Educación preescolar", $C$26:$C$1024 &amp; " " &amp; $B$26:$B$1024, 0))</f>
        <v>6174.2167324128432</v>
      </c>
      <c r="X42" s="22" cm="1">
        <f t="array" ref="X42">INDEX($S$26:$S$1024, MATCH($U42 &amp; " Educación primaria (nivel 1)", $C$26:$C$1024 &amp; " " &amp; $B$26:$B$1024, 0))</f>
        <v>430111.56311350915</v>
      </c>
      <c r="Y42" s="22" cm="1">
        <f t="array" ref="Y42">INDEX($S$26:$S$1024, MATCH($U42 &amp; " Educación primaria (nivel 2)", $C$26:$C$1024 &amp; " " &amp; $B$26:$B$1024, 0))</f>
        <v>412727.06790169457</v>
      </c>
      <c r="Z42" s="22">
        <f t="shared" ref="Z42:Z50" si="1">+X42+Y42</f>
        <v>842838.63101520366</v>
      </c>
      <c r="AA42" s="22" cm="1">
        <f t="array" ref="AA42">INDEX($S$26:$S$1024, MATCH($U42 &amp; " Educación secundaria", $C$26:$C$1024 &amp; " " &amp; $B$26:$B$1024, 0))</f>
        <v>1274140.4830808151</v>
      </c>
      <c r="AB42" s="22" cm="1">
        <f t="array" ref="AB42">INDEX($S$26:$S$1024, MATCH($U42 &amp; " Educación Técnica (Educación Superior no Universitaria)", $C$26:$C$1024 &amp; " " &amp; $B$26:$B$1024, 0))</f>
        <v>280843.8733183241</v>
      </c>
      <c r="AC42" s="22" cm="1">
        <f t="array" ref="AC42">INDEX($S$26:$S$1024, MATCH($U42 &amp; " Educación universitaria", $C$26:$C$1024 &amp; " " &amp; $B$26:$B$1024, 0))</f>
        <v>439941.22388084093</v>
      </c>
      <c r="AD42" s="22" cm="1">
        <f t="array" ref="AD42">INDEX($S$26:$S$1024, MATCH($U42 &amp; " Post títulos y maestría", $C$26:$C$1024 &amp; " " &amp; $B$26:$B$1024, 0))</f>
        <v>28275.3922067979</v>
      </c>
      <c r="AE42" s="22" cm="1">
        <f t="array" ref="AE42">INDEX($S$26:$S$1024, MATCH($U42 &amp; " Doctorado", $C$26:$C$1024 &amp; " " &amp; $B$26:$B$1024, 0))</f>
        <v>6762.5004292287922</v>
      </c>
      <c r="AF42" s="22" cm="1">
        <f t="array" ref="AF42">INDEX($S$26:$S$1024, MATCH($U42 &amp; " Nivel ignorado", $C$26:$C$1024 &amp; " " &amp; $B$26:$B$1024, 0))</f>
        <v>11211.09702810479</v>
      </c>
    </row>
    <row r="43" spans="2:32" x14ac:dyDescent="0.25">
      <c r="B43" t="str">
        <f>+VLOOKUP(D43,[2]id!L:M,2,0)</f>
        <v>Nivel ignorado</v>
      </c>
      <c r="C43">
        <v>2014</v>
      </c>
      <c r="D43">
        <v>999</v>
      </c>
      <c r="E43">
        <v>36578.929693426122</v>
      </c>
      <c r="F43">
        <v>22276.691839109772</v>
      </c>
      <c r="G43">
        <v>112.8812800764663</v>
      </c>
      <c r="H43">
        <v>0</v>
      </c>
      <c r="I43">
        <v>10312.02343255483</v>
      </c>
      <c r="J43">
        <v>0</v>
      </c>
      <c r="K43">
        <v>640.69009837368276</v>
      </c>
      <c r="L43">
        <v>0</v>
      </c>
      <c r="M43" s="22">
        <v>22163.8105590333</v>
      </c>
      <c r="N43" s="22">
        <v>10952.713530928509</v>
      </c>
      <c r="O43" s="53">
        <v>0.99493276286749699</v>
      </c>
      <c r="P43" s="53">
        <v>0</v>
      </c>
      <c r="Q43" s="53">
        <v>0.49417104977305049</v>
      </c>
      <c r="R43" s="53">
        <v>0.50582895022694951</v>
      </c>
      <c r="S43" s="22">
        <f t="shared" si="0"/>
        <v>11211.09702810479</v>
      </c>
      <c r="U43">
        <v>2015</v>
      </c>
      <c r="V43" s="22" cm="1">
        <f t="array" ref="V43">INDEX($S$26:$S$1024, MATCH($U43 &amp; " Nunca estudió", $C$26:$C$1024 &amp; " " &amp; $B$26:$B$1024, 0))</f>
        <v>35396.733740963304</v>
      </c>
      <c r="W43" s="22" cm="1">
        <f t="array" ref="W43">INDEX($S$26:$S$1024, MATCH($U43 &amp; " Educación preescolar", $C$26:$C$1024 &amp; " " &amp; $B$26:$B$1024, 0))</f>
        <v>5818.0072912592068</v>
      </c>
      <c r="X43" s="22" cm="1">
        <f t="array" ref="X43">INDEX($S$26:$S$1024, MATCH($U43 &amp; " Educación primaria (nivel 1)", $C$26:$C$1024 &amp; " " &amp; $B$26:$B$1024, 0))</f>
        <v>419034.56793441705</v>
      </c>
      <c r="Y43" s="22" cm="1">
        <f t="array" ref="Y43">INDEX($S$26:$S$1024, MATCH($U43 &amp; " Educación primaria (nivel 2)", $C$26:$C$1024 &amp; " " &amp; $B$26:$B$1024, 0))</f>
        <v>431044.32674068242</v>
      </c>
      <c r="Z43" s="22">
        <f t="shared" si="1"/>
        <v>850078.89467509952</v>
      </c>
      <c r="AA43" s="22" cm="1">
        <f t="array" ref="AA43">INDEX($S$26:$S$1024, MATCH($U43 &amp; " Educación secundaria", $C$26:$C$1024 &amp; " " &amp; $B$26:$B$1024, 0))</f>
        <v>1281544.6972665763</v>
      </c>
      <c r="AB43" s="22" cm="1">
        <f t="array" ref="AB43">INDEX($S$26:$S$1024, MATCH($U43 &amp; " Educación Técnica (Educación Superior no Universitaria)", $C$26:$C$1024 &amp; " " &amp; $B$26:$B$1024, 0))</f>
        <v>283521.81732459913</v>
      </c>
      <c r="AC43" s="22" cm="1">
        <f t="array" ref="AC43">INDEX($S$26:$S$1024, MATCH($U43 &amp; " Educación universitaria", $C$26:$C$1024 &amp; " " &amp; $B$26:$B$1024, 0))</f>
        <v>464674.91325950716</v>
      </c>
      <c r="AD43" s="22" cm="1">
        <f t="array" ref="AD43">INDEX($S$26:$S$1024, MATCH($U43 &amp; " Post títulos y maestría", $C$26:$C$1024 &amp; " " &amp; $B$26:$B$1024, 0))</f>
        <v>33452.717771904281</v>
      </c>
      <c r="AE43" s="22" cm="1">
        <f t="array" ref="AE43">INDEX($S$26:$S$1024, MATCH($U43 &amp; " Doctorado", $C$26:$C$1024 &amp; " " &amp; $B$26:$B$1024, 0))</f>
        <v>6298.7369021593513</v>
      </c>
      <c r="AF43" s="22" cm="1">
        <f t="array" ref="AF43">INDEX($S$26:$S$1024, MATCH($U43 &amp; " Nivel ignorado", $C$26:$C$1024 &amp; " " &amp; $B$26:$B$1024, 0))</f>
        <v>5309.1920460516812</v>
      </c>
    </row>
    <row r="44" spans="2:32" x14ac:dyDescent="0.25">
      <c r="B44" t="str">
        <f>+VLOOKUP(D44,[2]id!L:M,2,0)</f>
        <v>Doctorado</v>
      </c>
      <c r="C44">
        <v>2014</v>
      </c>
      <c r="D44">
        <v>9</v>
      </c>
      <c r="E44">
        <v>29889.606556424289</v>
      </c>
      <c r="F44">
        <v>25766.819292339369</v>
      </c>
      <c r="G44">
        <v>902.66571306602657</v>
      </c>
      <c r="H44">
        <v>0</v>
      </c>
      <c r="I44">
        <v>17403.380602352339</v>
      </c>
      <c r="J44">
        <v>0</v>
      </c>
      <c r="K44">
        <v>698.27254769221281</v>
      </c>
      <c r="L44">
        <v>0</v>
      </c>
      <c r="M44" s="22">
        <v>24864.153579273341</v>
      </c>
      <c r="N44" s="22">
        <v>18101.653150044549</v>
      </c>
      <c r="O44" s="53">
        <v>0.96496790299086721</v>
      </c>
      <c r="P44" s="53">
        <v>0</v>
      </c>
      <c r="Q44" s="53">
        <v>0.72802209382804095</v>
      </c>
      <c r="R44" s="53">
        <v>0.27197790617195899</v>
      </c>
      <c r="S44" s="22">
        <f t="shared" si="0"/>
        <v>6762.5004292287922</v>
      </c>
      <c r="U44">
        <v>2016</v>
      </c>
      <c r="V44" s="22" cm="1">
        <f t="array" ref="V44">INDEX($S$26:$S$1024, MATCH($U44 &amp; " Nunca estudió", $C$26:$C$1024 &amp; " " &amp; $B$26:$B$1024, 0))</f>
        <v>37062.619238116298</v>
      </c>
      <c r="W44" s="22" cm="1">
        <f t="array" ref="W44">INDEX($S$26:$S$1024, MATCH($U44 &amp; " Educación preescolar", $C$26:$C$1024 &amp; " " &amp; $B$26:$B$1024, 0))</f>
        <v>7599.5296250200627</v>
      </c>
      <c r="X44" s="22" cm="1">
        <f t="array" ref="X44">INDEX($S$26:$S$1024, MATCH($U44 &amp; " Educación primaria (nivel 1)", $C$26:$C$1024 &amp; " " &amp; $B$26:$B$1024, 0))</f>
        <v>438568.48876368382</v>
      </c>
      <c r="Y44" s="22" cm="1">
        <f t="array" ref="Y44">INDEX($S$26:$S$1024, MATCH($U44 &amp; " Educación primaria (nivel 2)", $C$26:$C$1024 &amp; " " &amp; $B$26:$B$1024, 0))</f>
        <v>434730.74182974227</v>
      </c>
      <c r="Z44" s="22">
        <f t="shared" si="1"/>
        <v>873299.23059342615</v>
      </c>
      <c r="AA44" s="22" cm="1">
        <f t="array" ref="AA44">INDEX($S$26:$S$1024, MATCH($U44 &amp; " Educación secundaria", $C$26:$C$1024 &amp; " " &amp; $B$26:$B$1024, 0))</f>
        <v>1327967.403235503</v>
      </c>
      <c r="AB44" s="22" cm="1">
        <f t="array" ref="AB44">INDEX($S$26:$S$1024, MATCH($U44 &amp; " Educación Técnica (Educación Superior no Universitaria)", $C$26:$C$1024 &amp; " " &amp; $B$26:$B$1024, 0))</f>
        <v>306850.35209778592</v>
      </c>
      <c r="AC44" s="22" cm="1">
        <f t="array" ref="AC44">INDEX($S$26:$S$1024, MATCH($U44 &amp; " Educación universitaria", $C$26:$C$1024 &amp; " " &amp; $B$26:$B$1024, 0))</f>
        <v>461191.85073194816</v>
      </c>
      <c r="AD44" s="22" cm="1">
        <f t="array" ref="AD44">INDEX($S$26:$S$1024, MATCH($U44 &amp; " Post títulos y maestría", $C$26:$C$1024 &amp; " " &amp; $B$26:$B$1024, 0))</f>
        <v>32967.586944389215</v>
      </c>
      <c r="AE44" s="22" cm="1">
        <f t="array" ref="AE44">INDEX($S$26:$S$1024, MATCH($U44 &amp; " Doctorado", $C$26:$C$1024 &amp; " " &amp; $B$26:$B$1024, 0))</f>
        <v>6338.3186811828273</v>
      </c>
      <c r="AF44" s="22" cm="1">
        <f t="array" ref="AF44">INDEX($S$26:$S$1024, MATCH($U44 &amp; " Nivel ignorado", $C$26:$C$1024 &amp; " " &amp; $B$26:$B$1024, 0))</f>
        <v>8056.4467689655394</v>
      </c>
    </row>
    <row r="45" spans="2:32" x14ac:dyDescent="0.25">
      <c r="B45" t="str">
        <f>+VLOOKUP(D45,[2]id!L:M,2,0)</f>
        <v>Post títulos y maestría</v>
      </c>
      <c r="C45">
        <v>2014</v>
      </c>
      <c r="D45">
        <v>8</v>
      </c>
      <c r="E45">
        <v>198685.17837606871</v>
      </c>
      <c r="F45">
        <v>182148.59399023579</v>
      </c>
      <c r="G45">
        <v>5871.9086834898326</v>
      </c>
      <c r="H45">
        <v>0</v>
      </c>
      <c r="I45">
        <v>137472.798426814</v>
      </c>
      <c r="J45">
        <v>0</v>
      </c>
      <c r="K45">
        <v>10528.494673134101</v>
      </c>
      <c r="L45">
        <v>0</v>
      </c>
      <c r="M45" s="22">
        <v>176276.68530674599</v>
      </c>
      <c r="N45" s="22">
        <v>148001.29309994809</v>
      </c>
      <c r="O45" s="53">
        <v>0.96776308532030397</v>
      </c>
      <c r="P45" s="53">
        <v>0</v>
      </c>
      <c r="Q45" s="53">
        <v>0.83959652884557734</v>
      </c>
      <c r="R45" s="53">
        <v>0.16040347115442269</v>
      </c>
      <c r="S45" s="22">
        <f t="shared" si="0"/>
        <v>28275.3922067979</v>
      </c>
      <c r="U45">
        <v>2017</v>
      </c>
      <c r="V45" s="22" cm="1">
        <f t="array" ref="V45">INDEX($S$26:$S$1024, MATCH($U45 &amp; " Nunca estudió", $C$26:$C$1024 &amp; " " &amp; $B$26:$B$1024, 0))</f>
        <v>35266.133786222803</v>
      </c>
      <c r="W45" s="22" cm="1">
        <f t="array" ref="W45">INDEX($S$26:$S$1024, MATCH($U45 &amp; " Educación preescolar", $C$26:$C$1024 &amp; " " &amp; $B$26:$B$1024, 0))</f>
        <v>4996.2889634536559</v>
      </c>
      <c r="X45" s="22" cm="1">
        <f t="array" ref="X45">INDEX($S$26:$S$1024, MATCH($U45 &amp; " Educación primaria (nivel 1)", $C$26:$C$1024 &amp; " " &amp; $B$26:$B$1024, 0))</f>
        <v>382076.14115998714</v>
      </c>
      <c r="Y45" s="22" cm="1">
        <f t="array" ref="Y45">INDEX($S$26:$S$1024, MATCH($U45 &amp; " Educación primaria (nivel 2)", $C$26:$C$1024 &amp; " " &amp; $B$26:$B$1024, 0))</f>
        <v>431250.98872207315</v>
      </c>
      <c r="Z45" s="22">
        <f t="shared" si="1"/>
        <v>813327.12988206022</v>
      </c>
      <c r="AA45" s="22" cm="1">
        <f t="array" ref="AA45">INDEX($S$26:$S$1024, MATCH($U45 &amp; " Educación secundaria", $C$26:$C$1024 &amp; " " &amp; $B$26:$B$1024, 0))</f>
        <v>1458742.859272792</v>
      </c>
      <c r="AB45" s="22" cm="1">
        <f t="array" ref="AB45">INDEX($S$26:$S$1024, MATCH($U45 &amp; " Educación Técnica (Educación Superior no Universitaria)", $C$26:$C$1024 &amp; " " &amp; $B$26:$B$1024, 0))</f>
        <v>314047.13985169854</v>
      </c>
      <c r="AC45" s="22" cm="1">
        <f t="array" ref="AC45">INDEX($S$26:$S$1024, MATCH($U45 &amp; " Educación universitaria", $C$26:$C$1024 &amp; " " &amp; $B$26:$B$1024, 0))</f>
        <v>499437.09866166394</v>
      </c>
      <c r="AD45" s="22" cm="1">
        <f t="array" ref="AD45">INDEX($S$26:$S$1024, MATCH($U45 &amp; " Post títulos y maestría", $C$26:$C$1024 &amp; " " &amp; $B$26:$B$1024, 0))</f>
        <v>50657.207387227216</v>
      </c>
      <c r="AE45" s="22" cm="1">
        <f t="array" ref="AE45">INDEX($S$26:$S$1024, MATCH($U45 &amp; " Doctorado", $C$26:$C$1024 &amp; " " &amp; $B$26:$B$1024, 0))</f>
        <v>8966.2399934807472</v>
      </c>
      <c r="AF45" s="22" cm="1">
        <f t="array" ref="AF45">INDEX($S$26:$S$1024, MATCH($U45 &amp; " Nivel ignorado", $C$26:$C$1024 &amp; " " &amp; $B$26:$B$1024, 0))</f>
        <v>14149.749433084635</v>
      </c>
    </row>
    <row r="46" spans="2:32" x14ac:dyDescent="0.25">
      <c r="B46" t="str">
        <f>+VLOOKUP(D46,[2]id!L:M,2,0)</f>
        <v>Nunca estudió</v>
      </c>
      <c r="C46">
        <v>2015</v>
      </c>
      <c r="D46">
        <v>1</v>
      </c>
      <c r="E46">
        <v>220140.80125558819</v>
      </c>
      <c r="F46">
        <v>50375.799944954517</v>
      </c>
      <c r="G46">
        <v>1642.5208575609449</v>
      </c>
      <c r="H46">
        <v>0</v>
      </c>
      <c r="I46">
        <v>13000.62646761633</v>
      </c>
      <c r="J46">
        <v>0</v>
      </c>
      <c r="K46">
        <v>335.91887881395508</v>
      </c>
      <c r="L46">
        <v>0</v>
      </c>
      <c r="M46" s="22">
        <v>48733.279087393581</v>
      </c>
      <c r="N46" s="22">
        <v>13336.545346430279</v>
      </c>
      <c r="O46" s="53">
        <v>0.96739464466359404</v>
      </c>
      <c r="P46" s="53">
        <v>0</v>
      </c>
      <c r="Q46" s="53">
        <v>0.27366402581927229</v>
      </c>
      <c r="R46" s="53">
        <v>0.72633597418072759</v>
      </c>
      <c r="S46" s="22">
        <f t="shared" si="0"/>
        <v>35396.733740963304</v>
      </c>
      <c r="U46">
        <v>2018</v>
      </c>
      <c r="V46" s="22" cm="1">
        <f t="array" ref="V46">INDEX($S$26:$S$1024, MATCH($U46 &amp; " Nunca estudió", $C$26:$C$1024 &amp; " " &amp; $B$26:$B$1024, 0))</f>
        <v>35467.680488188271</v>
      </c>
      <c r="W46" s="22" cm="1">
        <f t="array" ref="W46">INDEX($S$26:$S$1024, MATCH($U46 &amp; " Educación preescolar", $C$26:$C$1024 &amp; " " &amp; $B$26:$B$1024, 0))</f>
        <v>4901.0701616240822</v>
      </c>
      <c r="X46" s="22" cm="1">
        <f t="array" ref="X46">INDEX($S$26:$S$1024, MATCH($U46 &amp; " Educación primaria (nivel 1)", $C$26:$C$1024 &amp; " " &amp; $B$26:$B$1024, 0))</f>
        <v>374333.12171125517</v>
      </c>
      <c r="Y46" s="22" cm="1">
        <f t="array" ref="Y46">INDEX($S$26:$S$1024, MATCH($U46 &amp; " Educación primaria (nivel 2)", $C$26:$C$1024 &amp; " " &amp; $B$26:$B$1024, 0))</f>
        <v>437490.31276823557</v>
      </c>
      <c r="Z46" s="22">
        <f t="shared" si="1"/>
        <v>811823.43447949074</v>
      </c>
      <c r="AA46" s="22" cm="1">
        <f t="array" ref="AA46">INDEX($S$26:$S$1024, MATCH($U46 &amp; " Educación secundaria", $C$26:$C$1024 &amp; " " &amp; $B$26:$B$1024, 0))</f>
        <v>1437242.263709689</v>
      </c>
      <c r="AB46" s="22" cm="1">
        <f t="array" ref="AB46">INDEX($S$26:$S$1024, MATCH($U46 &amp; " Educación Técnica (Educación Superior no Universitaria)", $C$26:$C$1024 &amp; " " &amp; $B$26:$B$1024, 0))</f>
        <v>300395.84000338824</v>
      </c>
      <c r="AC46" s="22" cm="1">
        <f t="array" ref="AC46">INDEX($S$26:$S$1024, MATCH($U46 &amp; " Educación universitaria", $C$26:$C$1024 &amp; " " &amp; $B$26:$B$1024, 0))</f>
        <v>530175.18040788593</v>
      </c>
      <c r="AD46" s="22" cm="1">
        <f t="array" ref="AD46">INDEX($S$26:$S$1024, MATCH($U46 &amp; " Post títulos y maestría", $C$26:$C$1024 &amp; " " &amp; $B$26:$B$1024, 0))</f>
        <v>41783.854516548308</v>
      </c>
      <c r="AE46" s="22" cm="1">
        <f t="array" ref="AE46">INDEX($S$26:$S$1024, MATCH($U46 &amp; " Doctorado", $C$26:$C$1024 &amp; " " &amp; $B$26:$B$1024, 0))</f>
        <v>9557.1523946566049</v>
      </c>
      <c r="AF46" s="22" cm="1">
        <f t="array" ref="AF46">INDEX($S$26:$S$1024, MATCH($U46 &amp; " Nivel ignorado", $C$26:$C$1024 &amp; " " &amp; $B$26:$B$1024, 0))</f>
        <v>4505.6085847369468</v>
      </c>
    </row>
    <row r="47" spans="2:32" x14ac:dyDescent="0.25">
      <c r="B47" t="str">
        <f>+VLOOKUP(D47,[2]id!L:M,2,0)</f>
        <v>Educación primaria (nivel 2)</v>
      </c>
      <c r="C47">
        <v>2015</v>
      </c>
      <c r="D47">
        <v>4</v>
      </c>
      <c r="E47">
        <v>1436021.473874419</v>
      </c>
      <c r="F47">
        <v>898873.0953297728</v>
      </c>
      <c r="G47">
        <v>48604.501849808192</v>
      </c>
      <c r="H47">
        <v>0</v>
      </c>
      <c r="I47">
        <v>398468.02985365939</v>
      </c>
      <c r="J47">
        <v>0</v>
      </c>
      <c r="K47">
        <v>20756.236885622639</v>
      </c>
      <c r="L47">
        <v>0</v>
      </c>
      <c r="M47" s="22">
        <v>850268.59347996453</v>
      </c>
      <c r="N47" s="22">
        <v>419224.26673928212</v>
      </c>
      <c r="O47" s="53">
        <v>0.94592729262635633</v>
      </c>
      <c r="P47" s="53">
        <v>0</v>
      </c>
      <c r="Q47" s="53">
        <v>0.49304921992177581</v>
      </c>
      <c r="R47" s="53">
        <v>0.50695078007822425</v>
      </c>
      <c r="S47" s="22">
        <f t="shared" si="0"/>
        <v>431044.32674068242</v>
      </c>
      <c r="U47">
        <v>2019</v>
      </c>
      <c r="V47" s="22" cm="1">
        <f t="array" ref="V47">INDEX($S$26:$S$1024, MATCH($U47 &amp; " Nunca estudió", $C$26:$C$1024 &amp; " " &amp; $B$26:$B$1024, 0))</f>
        <v>28747.976884964228</v>
      </c>
      <c r="W47" s="22" cm="1">
        <f t="array" ref="W47">INDEX($S$26:$S$1024, MATCH($U47 &amp; " Educación preescolar", $C$26:$C$1024 &amp; " " &amp; $B$26:$B$1024, 0))</f>
        <v>2753.1901869303347</v>
      </c>
      <c r="X47" s="22" cm="1">
        <f t="array" ref="X47">INDEX($S$26:$S$1024, MATCH($U47 &amp; " Educación primaria (nivel 1)", $C$26:$C$1024 &amp; " " &amp; $B$26:$B$1024, 0))</f>
        <v>354950.79554085922</v>
      </c>
      <c r="Y47" s="22" cm="1">
        <f t="array" ref="Y47">INDEX($S$26:$S$1024, MATCH($U47 &amp; " Educación primaria (nivel 2)", $C$26:$C$1024 &amp; " " &amp; $B$26:$B$1024, 0))</f>
        <v>419764.01263203274</v>
      </c>
      <c r="Z47" s="22">
        <f t="shared" si="1"/>
        <v>774714.80817289196</v>
      </c>
      <c r="AA47" s="22" cm="1">
        <f t="array" ref="AA47">INDEX($S$26:$S$1024, MATCH($U47 &amp; " Educación secundaria", $C$26:$C$1024 &amp; " " &amp; $B$26:$B$1024, 0))</f>
        <v>1414252.408099852</v>
      </c>
      <c r="AB47" s="22" cm="1">
        <f t="array" ref="AB47">INDEX($S$26:$S$1024, MATCH($U47 &amp; " Educación Técnica (Educación Superior no Universitaria)", $C$26:$C$1024 &amp; " " &amp; $B$26:$B$1024, 0))</f>
        <v>325364.08892036183</v>
      </c>
      <c r="AC47" s="22" cm="1">
        <f t="array" ref="AC47">INDEX($S$26:$S$1024, MATCH($U47 &amp; " Educación universitaria", $C$26:$C$1024 &amp; " " &amp; $B$26:$B$1024, 0))</f>
        <v>448889.84657747019</v>
      </c>
      <c r="AD47" s="22" cm="1">
        <f t="array" ref="AD47">INDEX($S$26:$S$1024, MATCH($U47 &amp; " Post títulos y maestría", $C$26:$C$1024 &amp; " " &amp; $B$26:$B$1024, 0))</f>
        <v>33416.490166762</v>
      </c>
      <c r="AE47" s="22" cm="1">
        <f t="array" ref="AE47">INDEX($S$26:$S$1024, MATCH($U47 &amp; " Doctorado", $C$26:$C$1024 &amp; " " &amp; $B$26:$B$1024, 0))</f>
        <v>4713.954483003421</v>
      </c>
      <c r="AF47" s="22" cm="1">
        <f t="array" ref="AF47">INDEX($S$26:$S$1024, MATCH($U47 &amp; " Nivel ignorado", $C$26:$C$1024 &amp; " " &amp; $B$26:$B$1024, 0))</f>
        <v>4100.7452762903195</v>
      </c>
    </row>
    <row r="48" spans="2:32" x14ac:dyDescent="0.25">
      <c r="B48" t="str">
        <f>+VLOOKUP(D48,[2]id!L:M,2,0)</f>
        <v>Educación Técnica (Educación Superior no Universitaria)</v>
      </c>
      <c r="C48">
        <v>2015</v>
      </c>
      <c r="D48">
        <v>6</v>
      </c>
      <c r="E48">
        <v>1529848.98736959</v>
      </c>
      <c r="F48">
        <v>1144299.1880735981</v>
      </c>
      <c r="G48">
        <v>73617.825094316213</v>
      </c>
      <c r="H48">
        <v>0</v>
      </c>
      <c r="I48">
        <v>746541.91459705366</v>
      </c>
      <c r="J48">
        <v>0</v>
      </c>
      <c r="K48">
        <v>40617.631057629107</v>
      </c>
      <c r="L48">
        <v>0</v>
      </c>
      <c r="M48" s="22">
        <v>1070681.3629792819</v>
      </c>
      <c r="N48" s="22">
        <v>787159.54565468279</v>
      </c>
      <c r="O48" s="53">
        <v>0.9356655795428378</v>
      </c>
      <c r="P48" s="53">
        <v>0</v>
      </c>
      <c r="Q48" s="53">
        <v>0.73519496357378433</v>
      </c>
      <c r="R48" s="53">
        <v>0.26480503642621572</v>
      </c>
      <c r="S48" s="22">
        <f t="shared" si="0"/>
        <v>283521.81732459913</v>
      </c>
      <c r="U48">
        <v>2020</v>
      </c>
      <c r="V48" s="22" cm="1">
        <f t="array" ref="V48">INDEX($S$26:$S$1024, MATCH($U48 &amp; " Nunca estudió", $C$26:$C$1024 &amp; " " &amp; $B$26:$B$1024, 0))</f>
        <v>14153.172458351655</v>
      </c>
      <c r="W48" s="22" cm="1">
        <f t="array" ref="W48">INDEX($S$26:$S$1024, MATCH($U48 &amp; " Educación preescolar", $C$26:$C$1024 &amp; " " &amp; $B$26:$B$1024, 0))</f>
        <v>403.99274803676394</v>
      </c>
      <c r="X48" s="22" cm="1">
        <f t="array" ref="X48">INDEX($S$26:$S$1024, MATCH($U48 &amp; " Educación primaria (nivel 1)", $C$26:$C$1024 &amp; " " &amp; $B$26:$B$1024, 0))</f>
        <v>215951.84319401611</v>
      </c>
      <c r="Y48" s="22" cm="1">
        <f t="array" ref="Y48">INDEX($S$26:$S$1024, MATCH($U48 &amp; " Educación primaria (nivel 2)", $C$26:$C$1024 &amp; " " &amp; $B$26:$B$1024, 0))</f>
        <v>307368.53525204619</v>
      </c>
      <c r="Z48" s="22">
        <f t="shared" si="1"/>
        <v>523320.37844606233</v>
      </c>
      <c r="AA48" s="22" cm="1">
        <f t="array" ref="AA48">INDEX($S$26:$S$1024, MATCH($U48 &amp; " Educación secundaria", $C$26:$C$1024 &amp; " " &amp; $B$26:$B$1024, 0))</f>
        <v>1182019.35706966</v>
      </c>
      <c r="AB48" s="22" cm="1">
        <f t="array" ref="AB48">INDEX($S$26:$S$1024, MATCH($U48 &amp; " Educación Técnica (Educación Superior no Universitaria)", $C$26:$C$1024 &amp; " " &amp; $B$26:$B$1024, 0))</f>
        <v>271800.02547917282</v>
      </c>
      <c r="AC48" s="22" cm="1">
        <f t="array" ref="AC48">INDEX($S$26:$S$1024, MATCH($U48 &amp; " Educación universitaria", $C$26:$C$1024 &amp; " " &amp; $B$26:$B$1024, 0))</f>
        <v>396634.10184397991</v>
      </c>
      <c r="AD48" s="22" cm="1">
        <f t="array" ref="AD48">INDEX($S$26:$S$1024, MATCH($U48 &amp; " Post títulos y maestría", $C$26:$C$1024 &amp; " " &amp; $B$26:$B$1024, 0))</f>
        <v>41787.485129629029</v>
      </c>
      <c r="AE48" s="22" cm="1">
        <f t="array" ref="AE48">INDEX($S$26:$S$1024, MATCH($U48 &amp; " Doctorado", $C$26:$C$1024 &amp; " " &amp; $B$26:$B$1024, 0))</f>
        <v>3715.257587105807</v>
      </c>
      <c r="AF48" s="22" cm="1">
        <f t="array" ref="AF48">INDEX($S$26:$S$1024, MATCH($U48 &amp; " Nivel ignorado", $C$26:$C$1024 &amp; " " &amp; $B$26:$B$1024, 0))</f>
        <v>18358.706009527588</v>
      </c>
    </row>
    <row r="49" spans="2:34" x14ac:dyDescent="0.25">
      <c r="B49" t="str">
        <f>+VLOOKUP(D49,[2]id!L:M,2,0)</f>
        <v>Educación primaria (nivel 1)</v>
      </c>
      <c r="C49">
        <v>2015</v>
      </c>
      <c r="D49">
        <v>3</v>
      </c>
      <c r="E49">
        <v>1773288.6971578749</v>
      </c>
      <c r="F49">
        <v>707919.23306880076</v>
      </c>
      <c r="G49">
        <v>24792.440544080069</v>
      </c>
      <c r="H49">
        <v>0</v>
      </c>
      <c r="I49">
        <v>252107.0156987271</v>
      </c>
      <c r="J49">
        <v>0</v>
      </c>
      <c r="K49">
        <v>11985.20889157656</v>
      </c>
      <c r="L49">
        <v>0</v>
      </c>
      <c r="M49" s="22">
        <v>683126.79252472066</v>
      </c>
      <c r="N49" s="22">
        <v>264092.22459030361</v>
      </c>
      <c r="O49" s="53">
        <v>0.96497843343426914</v>
      </c>
      <c r="P49" s="53">
        <v>0</v>
      </c>
      <c r="Q49" s="53">
        <v>0.3865932759191944</v>
      </c>
      <c r="R49" s="53">
        <v>0.61340672408080565</v>
      </c>
      <c r="S49" s="22">
        <f t="shared" si="0"/>
        <v>419034.56793441705</v>
      </c>
      <c r="U49">
        <v>2021</v>
      </c>
      <c r="V49" s="22" cm="1">
        <f t="array" ref="V49">INDEX($S$26:$S$1024, MATCH($U49 &amp; " Nunca estudió", $C$26:$C$1024 &amp; " " &amp; $B$26:$B$1024, 0))</f>
        <v>15623.385217094157</v>
      </c>
      <c r="W49" s="22" cm="1">
        <f t="array" ref="W49">INDEX($S$26:$S$1024, MATCH($U49 &amp; " Educación preescolar", $C$26:$C$1024 &amp; " " &amp; $B$26:$B$1024, 0))</f>
        <v>575.62482930301155</v>
      </c>
      <c r="X49" s="22" cm="1">
        <f t="array" ref="X49">INDEX($S$26:$S$1024, MATCH($U49 &amp; " Educación primaria (nivel 1)", $C$26:$C$1024 &amp; " " &amp; $B$26:$B$1024, 0))</f>
        <v>273768.18851599167</v>
      </c>
      <c r="Y49" s="22" cm="1">
        <f t="array" ref="Y49">INDEX($S$26:$S$1024, MATCH($U49 &amp; " Educación primaria (nivel 2)", $C$26:$C$1024 &amp; " " &amp; $B$26:$B$1024, 0))</f>
        <v>367844.22246042715</v>
      </c>
      <c r="Z49" s="22">
        <f t="shared" si="1"/>
        <v>641612.41097641876</v>
      </c>
      <c r="AA49" s="22" cm="1">
        <f t="array" ref="AA49">INDEX($S$26:$S$1024, MATCH($U49 &amp; " Educación secundaria", $C$26:$C$1024 &amp; " " &amp; $B$26:$B$1024, 0))</f>
        <v>1339448.8969838303</v>
      </c>
      <c r="AB49" s="22" cm="1">
        <f t="array" ref="AB49">INDEX($S$26:$S$1024, MATCH($U49 &amp; " Educación Técnica (Educación Superior no Universitaria)", $C$26:$C$1024 &amp; " " &amp; $B$26:$B$1024, 0))</f>
        <v>269566.27248621208</v>
      </c>
      <c r="AC49" s="22" cm="1">
        <f t="array" ref="AC49">INDEX($S$26:$S$1024, MATCH($U49 &amp; " Educación universitaria", $C$26:$C$1024 &amp; " " &amp; $B$26:$B$1024, 0))</f>
        <v>414942.03102427116</v>
      </c>
      <c r="AD49" s="22" cm="1">
        <f t="array" ref="AD49">INDEX($S$26:$S$1024, MATCH($U49 &amp; " Post títulos y maestría", $C$26:$C$1024 &amp; " " &amp; $B$26:$B$1024, 0))</f>
        <v>25456.877437947202</v>
      </c>
      <c r="AE49" s="22" cm="1">
        <f t="array" ref="AE49">INDEX($S$26:$S$1024, MATCH($U49 &amp; " Doctorado", $C$26:$C$1024 &amp; " " &amp; $B$26:$B$1024, 0))</f>
        <v>4312.8951466955186</v>
      </c>
      <c r="AF49" s="22" cm="1">
        <f t="array" ref="AF49">INDEX($S$26:$S$1024, MATCH($U49 &amp; " Nivel ignorado", $C$26:$C$1024 &amp; " " &amp; $B$26:$B$1024, 0))</f>
        <v>10911.068975287762</v>
      </c>
    </row>
    <row r="50" spans="2:34" x14ac:dyDescent="0.25">
      <c r="B50" t="str">
        <f>+VLOOKUP(D50,[2]id!L:M,2,0)</f>
        <v>Educación secundaria</v>
      </c>
      <c r="C50">
        <v>2015</v>
      </c>
      <c r="D50">
        <v>5</v>
      </c>
      <c r="E50">
        <v>6365415.2095365841</v>
      </c>
      <c r="F50">
        <v>3981178.466311479</v>
      </c>
      <c r="G50">
        <v>245982.28740664551</v>
      </c>
      <c r="H50">
        <v>0</v>
      </c>
      <c r="I50">
        <v>2337936.6512924498</v>
      </c>
      <c r="J50">
        <v>0</v>
      </c>
      <c r="K50">
        <v>115714.8303458075</v>
      </c>
      <c r="L50">
        <v>0</v>
      </c>
      <c r="M50" s="22">
        <v>3735196.1789048342</v>
      </c>
      <c r="N50" s="22">
        <v>2453651.4816382579</v>
      </c>
      <c r="O50" s="53">
        <v>0.93821369991620951</v>
      </c>
      <c r="P50" s="53">
        <v>0</v>
      </c>
      <c r="Q50" s="53">
        <v>0.65690029763247215</v>
      </c>
      <c r="R50" s="53">
        <v>0.34309970236752779</v>
      </c>
      <c r="S50" s="22">
        <f t="shared" si="0"/>
        <v>1281544.6972665763</v>
      </c>
      <c r="U50">
        <v>2022</v>
      </c>
      <c r="V50" s="22" cm="1">
        <f t="array" ref="V50">INDEX($S$26:$S$1024, MATCH($U50 &amp; " Nunca estudió", $C$26:$C$1024 &amp; " " &amp; $B$26:$B$1024, 0))</f>
        <v>24793.224457522505</v>
      </c>
      <c r="W50" s="22" cm="1">
        <f t="array" ref="W50">INDEX($S$26:$S$1024, MATCH($U50 &amp; " Educación preescolar", $C$26:$C$1024 &amp; " " &amp; $B$26:$B$1024, 0))</f>
        <v>0</v>
      </c>
      <c r="X50" s="22" cm="1">
        <f t="array" ref="X50">INDEX($S$26:$S$1024, MATCH($U50 &amp; " Educación primaria (nivel 1)", $C$26:$C$1024 &amp; " " &amp; $B$26:$B$1024, 0))</f>
        <v>259923.42170498191</v>
      </c>
      <c r="Y50" s="22" cm="1">
        <f t="array" ref="Y50">INDEX($S$26:$S$1024, MATCH($U50 &amp; " Educación primaria (nivel 2)", $C$26:$C$1024 &amp; " " &amp; $B$26:$B$1024, 0))</f>
        <v>373348.15480924328</v>
      </c>
      <c r="Z50" s="22">
        <f t="shared" si="1"/>
        <v>633271.57651422522</v>
      </c>
      <c r="AA50" s="22" cm="1">
        <f t="array" ref="AA50">INDEX($S$26:$S$1024, MATCH($U50 &amp; " Educación secundaria", $C$26:$C$1024 &amp; " " &amp; $B$26:$B$1024, 0))</f>
        <v>1336102.7206428009</v>
      </c>
      <c r="AB50" s="22" cm="1">
        <f t="array" ref="AB50">INDEX($S$26:$S$1024, MATCH($U50 &amp; " Educación Técnica (Educación Superior no Universitaria)", $C$26:$C$1024 &amp; " " &amp; $B$26:$B$1024, 0))</f>
        <v>265758.17443311098</v>
      </c>
      <c r="AC50" s="22" cm="1">
        <f t="array" ref="AC50">INDEX($S$26:$S$1024, MATCH($U50 &amp; " Educación universitaria", $C$26:$C$1024 &amp; " " &amp; $B$26:$B$1024, 0))</f>
        <v>431511.96647431096</v>
      </c>
      <c r="AD50" s="22" cm="1">
        <f t="array" ref="AD50">INDEX($S$26:$S$1024, MATCH($U50 &amp; " Post títulos y maestría", $C$26:$C$1024 &amp; " " &amp; $B$26:$B$1024, 0))</f>
        <v>24622.234961008711</v>
      </c>
      <c r="AE50" s="22" cm="1">
        <f t="array" ref="AE50">INDEX($S$26:$S$1024, MATCH($U50 &amp; " Doctorado", $C$26:$C$1024 &amp; " " &amp; $B$26:$B$1024, 0))</f>
        <v>589.05310696241213</v>
      </c>
      <c r="AF50" s="22" cm="1">
        <f t="array" ref="AF50">INDEX($S$26:$S$1024, MATCH($U50 &amp; " Nivel ignorado", $C$26:$C$1024 &amp; " " &amp; $B$26:$B$1024, 0))</f>
        <v>12389.219550681199</v>
      </c>
    </row>
    <row r="51" spans="2:34" x14ac:dyDescent="0.25">
      <c r="B51" t="str">
        <f>+VLOOKUP(D51,[2]id!L:M,2,0)</f>
        <v>Educación preescolar</v>
      </c>
      <c r="C51">
        <v>2015</v>
      </c>
      <c r="D51">
        <v>2</v>
      </c>
      <c r="E51">
        <v>73426.469132642509</v>
      </c>
      <c r="F51">
        <v>12494.336314902759</v>
      </c>
      <c r="G51">
        <v>144.3301995276862</v>
      </c>
      <c r="H51">
        <v>0</v>
      </c>
      <c r="I51">
        <v>6531.9988241158726</v>
      </c>
      <c r="J51">
        <v>0</v>
      </c>
      <c r="K51">
        <v>0</v>
      </c>
      <c r="L51">
        <v>0</v>
      </c>
      <c r="M51" s="22">
        <v>12350.006115375079</v>
      </c>
      <c r="N51" s="22">
        <v>6531.9988241158726</v>
      </c>
      <c r="O51" s="53">
        <v>0.98844835004516918</v>
      </c>
      <c r="P51" s="53">
        <v>0</v>
      </c>
      <c r="Q51" s="53">
        <v>0.52890652547806394</v>
      </c>
      <c r="R51" s="53">
        <v>0.47109347452193612</v>
      </c>
      <c r="S51" s="22">
        <f t="shared" si="0"/>
        <v>5818.0072912592068</v>
      </c>
    </row>
    <row r="52" spans="2:34" x14ac:dyDescent="0.25">
      <c r="B52" t="str">
        <f>+VLOOKUP(D52,[2]id!L:M,2,0)</f>
        <v>Educación universitaria</v>
      </c>
      <c r="C52">
        <v>2015</v>
      </c>
      <c r="D52">
        <v>7</v>
      </c>
      <c r="E52">
        <v>2693921.0132434689</v>
      </c>
      <c r="F52">
        <v>1931184.7428822459</v>
      </c>
      <c r="G52">
        <v>109296.3753660699</v>
      </c>
      <c r="H52">
        <v>0</v>
      </c>
      <c r="I52">
        <v>1255964.546317576</v>
      </c>
      <c r="J52">
        <v>0</v>
      </c>
      <c r="K52">
        <v>101248.9079390922</v>
      </c>
      <c r="L52">
        <v>0</v>
      </c>
      <c r="M52" s="22">
        <v>1821888.3675161761</v>
      </c>
      <c r="N52" s="22">
        <v>1357213.4542566689</v>
      </c>
      <c r="O52" s="53">
        <v>0.94340449521005032</v>
      </c>
      <c r="P52" s="53">
        <v>0</v>
      </c>
      <c r="Q52" s="53">
        <v>0.7449487457384617</v>
      </c>
      <c r="R52" s="53">
        <v>0.2550512542615383</v>
      </c>
      <c r="S52" s="22">
        <f t="shared" si="0"/>
        <v>464674.91325950716</v>
      </c>
    </row>
    <row r="53" spans="2:34" x14ac:dyDescent="0.25">
      <c r="B53" t="str">
        <f>+VLOOKUP(D53,[2]id!L:M,2,0)</f>
        <v>Post títulos y maestría</v>
      </c>
      <c r="C53">
        <v>2015</v>
      </c>
      <c r="D53">
        <v>8</v>
      </c>
      <c r="E53">
        <v>195811.95456984561</v>
      </c>
      <c r="F53">
        <v>175042.7371924546</v>
      </c>
      <c r="G53">
        <v>5829.435155001448</v>
      </c>
      <c r="H53">
        <v>0</v>
      </c>
      <c r="I53">
        <v>118202.6049359614</v>
      </c>
      <c r="J53">
        <v>0</v>
      </c>
      <c r="K53">
        <v>17557.97932958751</v>
      </c>
      <c r="L53">
        <v>0</v>
      </c>
      <c r="M53" s="22">
        <v>169213.30203745319</v>
      </c>
      <c r="N53" s="22">
        <v>135760.58426554891</v>
      </c>
      <c r="O53" s="53">
        <v>0.96669707496294388</v>
      </c>
      <c r="P53" s="53">
        <v>0</v>
      </c>
      <c r="Q53" s="53">
        <v>0.80230444433676973</v>
      </c>
      <c r="R53" s="53">
        <v>0.1976955556632303</v>
      </c>
      <c r="S53" s="22">
        <f t="shared" si="0"/>
        <v>33452.717771904281</v>
      </c>
    </row>
    <row r="54" spans="2:34" x14ac:dyDescent="0.25">
      <c r="B54" t="str">
        <f>+VLOOKUP(D54,[2]id!L:M,2,0)</f>
        <v>Doctorado</v>
      </c>
      <c r="C54">
        <v>2015</v>
      </c>
      <c r="D54">
        <v>9</v>
      </c>
      <c r="E54">
        <v>30238.445031433679</v>
      </c>
      <c r="F54">
        <v>27034.078702021321</v>
      </c>
      <c r="G54">
        <v>376.23024643075672</v>
      </c>
      <c r="H54">
        <v>0</v>
      </c>
      <c r="I54">
        <v>17678.049803681039</v>
      </c>
      <c r="J54">
        <v>0</v>
      </c>
      <c r="K54">
        <v>2681.0617497501839</v>
      </c>
      <c r="L54">
        <v>0</v>
      </c>
      <c r="M54" s="22">
        <v>26657.848455590571</v>
      </c>
      <c r="N54" s="22">
        <v>20359.111553431219</v>
      </c>
      <c r="O54" s="53">
        <v>0.98608311196480214</v>
      </c>
      <c r="P54" s="53">
        <v>0</v>
      </c>
      <c r="Q54" s="53">
        <v>0.7637192321558719</v>
      </c>
      <c r="R54" s="53">
        <v>0.2362807678441281</v>
      </c>
      <c r="S54" s="22">
        <f t="shared" si="0"/>
        <v>6298.7369021593513</v>
      </c>
    </row>
    <row r="55" spans="2:34" x14ac:dyDescent="0.25">
      <c r="B55" t="str">
        <f>+VLOOKUP(D55,[2]id!L:M,2,0)</f>
        <v>Nivel ignorado</v>
      </c>
      <c r="C55">
        <v>2015</v>
      </c>
      <c r="D55">
        <v>999</v>
      </c>
      <c r="E55">
        <v>31978.951121549129</v>
      </c>
      <c r="F55">
        <v>21866.008330326302</v>
      </c>
      <c r="G55">
        <v>1426.5453266195359</v>
      </c>
      <c r="H55">
        <v>0</v>
      </c>
      <c r="I55">
        <v>13534.82602709339</v>
      </c>
      <c r="J55">
        <v>0</v>
      </c>
      <c r="K55">
        <v>1595.444930561684</v>
      </c>
      <c r="L55">
        <v>0</v>
      </c>
      <c r="M55" s="22">
        <v>20439.463003706762</v>
      </c>
      <c r="N55" s="22">
        <v>15130.270957655081</v>
      </c>
      <c r="O55" s="53">
        <v>0.93475968246837993</v>
      </c>
      <c r="P55" s="53">
        <v>0</v>
      </c>
      <c r="Q55" s="53">
        <v>0.74024796810518723</v>
      </c>
      <c r="R55" s="53">
        <v>0.25975203189481277</v>
      </c>
      <c r="S55" s="22">
        <f t="shared" si="0"/>
        <v>5309.1920460516812</v>
      </c>
    </row>
    <row r="56" spans="2:34" x14ac:dyDescent="0.25">
      <c r="B56" t="str">
        <f>+VLOOKUP(D56,[2]id!L:M,2,0)</f>
        <v>Educación universitaria</v>
      </c>
      <c r="C56">
        <v>2016</v>
      </c>
      <c r="D56">
        <v>7</v>
      </c>
      <c r="E56">
        <v>2745273.6867973511</v>
      </c>
      <c r="F56">
        <v>1928430.402054504</v>
      </c>
      <c r="G56">
        <v>132164.3135719136</v>
      </c>
      <c r="H56">
        <v>0</v>
      </c>
      <c r="I56">
        <v>1221163.115112365</v>
      </c>
      <c r="J56">
        <v>0</v>
      </c>
      <c r="K56">
        <v>113911.1226382779</v>
      </c>
      <c r="L56">
        <v>0</v>
      </c>
      <c r="M56" s="22">
        <v>1796266.0884825911</v>
      </c>
      <c r="N56" s="22">
        <v>1335074.2377506429</v>
      </c>
      <c r="O56" s="53">
        <v>0.93146534433853101</v>
      </c>
      <c r="P56" s="53">
        <v>0</v>
      </c>
      <c r="Q56" s="53">
        <v>0.74324970354389841</v>
      </c>
      <c r="R56" s="53">
        <v>0.25675029645610159</v>
      </c>
      <c r="S56" s="22">
        <f t="shared" si="0"/>
        <v>461191.85073194816</v>
      </c>
    </row>
    <row r="57" spans="2:34" x14ac:dyDescent="0.25">
      <c r="B57" t="str">
        <f>+VLOOKUP(D57,[2]id!L:M,2,0)</f>
        <v>Post títulos y maestría</v>
      </c>
      <c r="C57">
        <v>2016</v>
      </c>
      <c r="D57">
        <v>8</v>
      </c>
      <c r="E57">
        <v>190144.46881343899</v>
      </c>
      <c r="F57">
        <v>172167.46455545671</v>
      </c>
      <c r="G57">
        <v>3798.8458142532409</v>
      </c>
      <c r="H57">
        <v>0</v>
      </c>
      <c r="I57">
        <v>117431.60752755259</v>
      </c>
      <c r="J57">
        <v>0</v>
      </c>
      <c r="K57">
        <v>17969.424269261741</v>
      </c>
      <c r="L57">
        <v>0</v>
      </c>
      <c r="M57" s="22">
        <v>168368.61874120351</v>
      </c>
      <c r="N57" s="22">
        <v>135401.03179681429</v>
      </c>
      <c r="O57" s="53">
        <v>0.97793517013181319</v>
      </c>
      <c r="P57" s="53">
        <v>0</v>
      </c>
      <c r="Q57" s="53">
        <v>0.80419399297286465</v>
      </c>
      <c r="R57" s="53">
        <v>0.19580600702713541</v>
      </c>
      <c r="S57" s="22">
        <f t="shared" si="0"/>
        <v>32967.586944389215</v>
      </c>
    </row>
    <row r="58" spans="2:34" x14ac:dyDescent="0.25">
      <c r="B58" t="str">
        <f>+VLOOKUP(D58,[2]id!L:M,2,0)</f>
        <v>Educación primaria (nivel 1)</v>
      </c>
      <c r="C58">
        <v>2016</v>
      </c>
      <c r="D58">
        <v>3</v>
      </c>
      <c r="E58">
        <v>1777941.1085634499</v>
      </c>
      <c r="F58">
        <v>716704.06329625216</v>
      </c>
      <c r="G58">
        <v>27470.623690382181</v>
      </c>
      <c r="H58">
        <v>0</v>
      </c>
      <c r="I58">
        <v>240056.55553162511</v>
      </c>
      <c r="J58">
        <v>0</v>
      </c>
      <c r="K58">
        <v>10608.395310561091</v>
      </c>
      <c r="L58">
        <v>0</v>
      </c>
      <c r="M58" s="22">
        <v>689233.43960587005</v>
      </c>
      <c r="N58" s="22">
        <v>250664.9508421862</v>
      </c>
      <c r="O58" s="53">
        <v>0.96167089724029209</v>
      </c>
      <c r="P58" s="53">
        <v>0</v>
      </c>
      <c r="Q58" s="53">
        <v>0.36368657763547579</v>
      </c>
      <c r="R58" s="53">
        <v>0.63631342236452415</v>
      </c>
      <c r="S58" s="22">
        <f t="shared" ref="S58:S89" si="2">+M58-N58</f>
        <v>438568.48876368382</v>
      </c>
    </row>
    <row r="59" spans="2:34" x14ac:dyDescent="0.25">
      <c r="B59" t="str">
        <f>+VLOOKUP(D59,[2]id!L:M,2,0)</f>
        <v>Educación secundaria</v>
      </c>
      <c r="C59">
        <v>2016</v>
      </c>
      <c r="D59">
        <v>5</v>
      </c>
      <c r="E59">
        <v>6455563.886799328</v>
      </c>
      <c r="F59">
        <v>4046791.7994063399</v>
      </c>
      <c r="G59">
        <v>261403.1741006088</v>
      </c>
      <c r="H59">
        <v>0</v>
      </c>
      <c r="I59">
        <v>2352127.7414964568</v>
      </c>
      <c r="J59">
        <v>0</v>
      </c>
      <c r="K59">
        <v>105293.4805737704</v>
      </c>
      <c r="L59">
        <v>0</v>
      </c>
      <c r="M59" s="22">
        <v>3785388.6253057308</v>
      </c>
      <c r="N59" s="22">
        <v>2457421.2220702278</v>
      </c>
      <c r="O59" s="53">
        <v>0.93540483744704717</v>
      </c>
      <c r="P59" s="53">
        <v>0</v>
      </c>
      <c r="Q59" s="53">
        <v>0.64918597938454781</v>
      </c>
      <c r="R59" s="53">
        <v>0.35081402061545219</v>
      </c>
      <c r="S59" s="22">
        <f t="shared" si="2"/>
        <v>1327967.403235503</v>
      </c>
    </row>
    <row r="60" spans="2:34" x14ac:dyDescent="0.25">
      <c r="B60" t="str">
        <f>+VLOOKUP(D60,[2]id!L:M,2,0)</f>
        <v>Educación primaria (nivel 2)</v>
      </c>
      <c r="C60">
        <v>2016</v>
      </c>
      <c r="D60">
        <v>4</v>
      </c>
      <c r="E60">
        <v>1428971.05792015</v>
      </c>
      <c r="F60">
        <v>892834.42427113082</v>
      </c>
      <c r="G60">
        <v>41727.603511358313</v>
      </c>
      <c r="H60">
        <v>0</v>
      </c>
      <c r="I60">
        <v>395525.42722180783</v>
      </c>
      <c r="J60">
        <v>0</v>
      </c>
      <c r="K60">
        <v>20850.65170822254</v>
      </c>
      <c r="L60">
        <v>0</v>
      </c>
      <c r="M60" s="22">
        <v>851106.82075977256</v>
      </c>
      <c r="N60" s="22">
        <v>416376.07893003029</v>
      </c>
      <c r="O60" s="53">
        <v>0.95326389487566776</v>
      </c>
      <c r="P60" s="53">
        <v>0</v>
      </c>
      <c r="Q60" s="53">
        <v>0.48921718023401162</v>
      </c>
      <c r="R60" s="53">
        <v>0.51078281976598838</v>
      </c>
      <c r="S60" s="22">
        <f t="shared" si="2"/>
        <v>434730.74182974227</v>
      </c>
      <c r="AH60" t="s">
        <v>545</v>
      </c>
    </row>
    <row r="61" spans="2:34" x14ac:dyDescent="0.25">
      <c r="B61" t="str">
        <f>+VLOOKUP(D61,[2]id!L:M,2,0)</f>
        <v>Nunca estudió</v>
      </c>
      <c r="C61">
        <v>2016</v>
      </c>
      <c r="D61">
        <v>1</v>
      </c>
      <c r="E61">
        <v>210347.86700055719</v>
      </c>
      <c r="F61">
        <v>54512.966585913542</v>
      </c>
      <c r="G61">
        <v>1805.682984582259</v>
      </c>
      <c r="H61">
        <v>0</v>
      </c>
      <c r="I61">
        <v>14519.07162634823</v>
      </c>
      <c r="J61">
        <v>0</v>
      </c>
      <c r="K61">
        <v>1125.592736866749</v>
      </c>
      <c r="L61">
        <v>0</v>
      </c>
      <c r="M61" s="22">
        <v>52707.283601331277</v>
      </c>
      <c r="N61" s="22">
        <v>15644.664363214981</v>
      </c>
      <c r="O61" s="53">
        <v>0.96687608292723415</v>
      </c>
      <c r="P61" s="53">
        <v>0</v>
      </c>
      <c r="Q61" s="53">
        <v>0.29682167803502257</v>
      </c>
      <c r="R61" s="53">
        <v>0.70317832196497743</v>
      </c>
      <c r="S61" s="22">
        <f t="shared" si="2"/>
        <v>37062.619238116298</v>
      </c>
    </row>
    <row r="62" spans="2:34" x14ac:dyDescent="0.25">
      <c r="B62" t="str">
        <f>+VLOOKUP(D62,[2]id!L:M,2,0)</f>
        <v>Educación Técnica (Educación Superior no Universitaria)</v>
      </c>
      <c r="C62">
        <v>2016</v>
      </c>
      <c r="D62">
        <v>6</v>
      </c>
      <c r="E62">
        <v>1605490.0254517361</v>
      </c>
      <c r="F62">
        <v>1208980.6799116901</v>
      </c>
      <c r="G62">
        <v>73696.787333854489</v>
      </c>
      <c r="H62">
        <v>0</v>
      </c>
      <c r="I62">
        <v>771775.98712402035</v>
      </c>
      <c r="J62">
        <v>0</v>
      </c>
      <c r="K62">
        <v>56657.553356029799</v>
      </c>
      <c r="L62">
        <v>0</v>
      </c>
      <c r="M62" s="22">
        <v>1135283.8925778361</v>
      </c>
      <c r="N62" s="22">
        <v>828433.54048005014</v>
      </c>
      <c r="O62" s="53">
        <v>0.93904221253623532</v>
      </c>
      <c r="P62" s="53">
        <v>0</v>
      </c>
      <c r="Q62" s="53">
        <v>0.72971487210918229</v>
      </c>
      <c r="R62" s="53">
        <v>0.27028512789081771</v>
      </c>
      <c r="S62" s="22">
        <f t="shared" si="2"/>
        <v>306850.35209778592</v>
      </c>
    </row>
    <row r="63" spans="2:34" x14ac:dyDescent="0.25">
      <c r="B63" t="str">
        <f>+VLOOKUP(D63,[2]id!L:M,2,0)</f>
        <v>Educación preescolar</v>
      </c>
      <c r="C63">
        <v>2016</v>
      </c>
      <c r="D63">
        <v>2</v>
      </c>
      <c r="E63">
        <v>76194.306623848068</v>
      </c>
      <c r="F63">
        <v>15253.31009329826</v>
      </c>
      <c r="G63">
        <v>1054.6097184023349</v>
      </c>
      <c r="H63">
        <v>0</v>
      </c>
      <c r="I63">
        <v>6599.1707498758678</v>
      </c>
      <c r="J63">
        <v>0</v>
      </c>
      <c r="K63">
        <v>0</v>
      </c>
      <c r="L63">
        <v>0</v>
      </c>
      <c r="M63" s="22">
        <v>14198.700374895931</v>
      </c>
      <c r="N63" s="22">
        <v>6599.1707498758678</v>
      </c>
      <c r="O63" s="53">
        <v>0.93086027151144779</v>
      </c>
      <c r="P63" s="53">
        <v>0</v>
      </c>
      <c r="Q63" s="53">
        <v>0.46477287185688909</v>
      </c>
      <c r="R63" s="53">
        <v>0.53522712814311091</v>
      </c>
      <c r="S63" s="22">
        <f t="shared" si="2"/>
        <v>7599.5296250200627</v>
      </c>
    </row>
    <row r="64" spans="2:34" x14ac:dyDescent="0.25">
      <c r="B64" t="str">
        <f>+VLOOKUP(D64,[2]id!L:M,2,0)</f>
        <v>Nivel ignorado</v>
      </c>
      <c r="C64">
        <v>2016</v>
      </c>
      <c r="D64">
        <v>999</v>
      </c>
      <c r="E64">
        <v>39901.348926319501</v>
      </c>
      <c r="F64">
        <v>22208.711809560631</v>
      </c>
      <c r="G64">
        <v>2023.9017367613039</v>
      </c>
      <c r="H64">
        <v>0</v>
      </c>
      <c r="I64">
        <v>11833.84548593239</v>
      </c>
      <c r="J64">
        <v>0</v>
      </c>
      <c r="K64">
        <v>294.51781790138739</v>
      </c>
      <c r="L64">
        <v>0</v>
      </c>
      <c r="M64" s="22">
        <v>20184.810072799319</v>
      </c>
      <c r="N64" s="22">
        <v>12128.363303833779</v>
      </c>
      <c r="O64" s="53">
        <v>0.90886901707238887</v>
      </c>
      <c r="P64" s="53">
        <v>0</v>
      </c>
      <c r="Q64" s="53">
        <v>0.60086586200668468</v>
      </c>
      <c r="R64" s="53">
        <v>0.39913413799331532</v>
      </c>
      <c r="S64" s="22">
        <f t="shared" si="2"/>
        <v>8056.4467689655394</v>
      </c>
    </row>
    <row r="65" spans="2:19" x14ac:dyDescent="0.25">
      <c r="B65" t="str">
        <f>+VLOOKUP(D65,[2]id!L:M,2,0)</f>
        <v>Doctorado</v>
      </c>
      <c r="C65">
        <v>2016</v>
      </c>
      <c r="D65">
        <v>9</v>
      </c>
      <c r="E65">
        <v>40217.243103925633</v>
      </c>
      <c r="F65">
        <v>36772.834209153443</v>
      </c>
      <c r="G65">
        <v>4291.1686528214004</v>
      </c>
      <c r="H65">
        <v>0</v>
      </c>
      <c r="I65">
        <v>25106.60909749343</v>
      </c>
      <c r="J65">
        <v>0</v>
      </c>
      <c r="K65">
        <v>1036.7377776557751</v>
      </c>
      <c r="L65">
        <v>0</v>
      </c>
      <c r="M65" s="22">
        <v>32481.665556332038</v>
      </c>
      <c r="N65" s="22">
        <v>26143.346875149211</v>
      </c>
      <c r="O65" s="53">
        <v>0.88330601257399821</v>
      </c>
      <c r="P65" s="53">
        <v>0</v>
      </c>
      <c r="Q65" s="53">
        <v>0.80486472683519084</v>
      </c>
      <c r="R65" s="53">
        <v>0.19513527316480919</v>
      </c>
      <c r="S65" s="22">
        <f t="shared" si="2"/>
        <v>6338.3186811828273</v>
      </c>
    </row>
    <row r="66" spans="2:19" x14ac:dyDescent="0.25">
      <c r="B66" t="str">
        <f>+VLOOKUP(D66,[2]id!L:M,2,0)</f>
        <v>Educación secundaria</v>
      </c>
      <c r="C66">
        <v>2017</v>
      </c>
      <c r="D66">
        <v>5</v>
      </c>
      <c r="E66">
        <v>6585094.2161378982</v>
      </c>
      <c r="F66">
        <v>4170956.734422476</v>
      </c>
      <c r="G66">
        <v>292794.55760419031</v>
      </c>
      <c r="H66">
        <v>1182646.2261601679</v>
      </c>
      <c r="I66">
        <v>2301563.4792588199</v>
      </c>
      <c r="J66">
        <v>0</v>
      </c>
      <c r="K66">
        <v>117624.3220209694</v>
      </c>
      <c r="L66">
        <v>231.5162657053688</v>
      </c>
      <c r="M66" s="22">
        <v>3878162.176818287</v>
      </c>
      <c r="N66" s="22">
        <v>2419419.317545495</v>
      </c>
      <c r="O66" s="53">
        <v>0.92980158360603771</v>
      </c>
      <c r="P66" s="53">
        <v>0.30495017284976789</v>
      </c>
      <c r="Q66" s="53">
        <v>0.6238571795701513</v>
      </c>
      <c r="R66" s="53">
        <v>0.3761428204298487</v>
      </c>
      <c r="S66" s="22">
        <f t="shared" si="2"/>
        <v>1458742.859272792</v>
      </c>
    </row>
    <row r="67" spans="2:19" x14ac:dyDescent="0.25">
      <c r="B67" t="str">
        <f>+VLOOKUP(D67,[2]id!L:M,2,0)</f>
        <v>Educación primaria (nivel 1)</v>
      </c>
      <c r="C67">
        <v>2017</v>
      </c>
      <c r="D67">
        <v>3</v>
      </c>
      <c r="E67">
        <v>1674342.9666997651</v>
      </c>
      <c r="F67">
        <v>628228.22308999626</v>
      </c>
      <c r="G67">
        <v>24634.100598064881</v>
      </c>
      <c r="H67">
        <v>338134.8861467698</v>
      </c>
      <c r="I67">
        <v>211329.48717088709</v>
      </c>
      <c r="J67">
        <v>0</v>
      </c>
      <c r="K67">
        <v>10188.4941610572</v>
      </c>
      <c r="L67">
        <v>0</v>
      </c>
      <c r="M67" s="22">
        <v>603594.12249193143</v>
      </c>
      <c r="N67" s="22">
        <v>221517.98133194429</v>
      </c>
      <c r="O67" s="53">
        <v>0.96078797530473903</v>
      </c>
      <c r="P67" s="53">
        <v>0.56020241673458282</v>
      </c>
      <c r="Q67" s="53">
        <v>0.36699824116479102</v>
      </c>
      <c r="R67" s="53">
        <v>0.63300175883520904</v>
      </c>
      <c r="S67" s="22">
        <f t="shared" si="2"/>
        <v>382076.14115998714</v>
      </c>
    </row>
    <row r="68" spans="2:19" x14ac:dyDescent="0.25">
      <c r="B68" t="str">
        <f>+VLOOKUP(D68,[2]id!L:M,2,0)</f>
        <v>Educación universitaria</v>
      </c>
      <c r="C68">
        <v>2017</v>
      </c>
      <c r="D68">
        <v>7</v>
      </c>
      <c r="E68">
        <v>2932175.6911179912</v>
      </c>
      <c r="F68">
        <v>2112785.0896377009</v>
      </c>
      <c r="G68">
        <v>151149.3566080571</v>
      </c>
      <c r="H68">
        <v>311970.7902608501</v>
      </c>
      <c r="I68">
        <v>1333770.58751714</v>
      </c>
      <c r="J68">
        <v>0</v>
      </c>
      <c r="K68">
        <v>127623.4852520072</v>
      </c>
      <c r="L68">
        <v>804.56159883293765</v>
      </c>
      <c r="M68" s="22">
        <v>1961635.733029644</v>
      </c>
      <c r="N68" s="22">
        <v>1462198.6343679801</v>
      </c>
      <c r="O68" s="53">
        <v>0.92845966333756358</v>
      </c>
      <c r="P68" s="53">
        <v>0.15903604578971831</v>
      </c>
      <c r="Q68" s="53">
        <v>0.74539763410084836</v>
      </c>
      <c r="R68" s="53">
        <v>0.25460236589915158</v>
      </c>
      <c r="S68" s="22">
        <f t="shared" si="2"/>
        <v>499437.09866166394</v>
      </c>
    </row>
    <row r="69" spans="2:19" x14ac:dyDescent="0.25">
      <c r="B69" t="str">
        <f>+VLOOKUP(D69,[2]id!L:M,2,0)</f>
        <v>Educación preescolar</v>
      </c>
      <c r="C69">
        <v>2017</v>
      </c>
      <c r="D69">
        <v>2</v>
      </c>
      <c r="E69">
        <v>63998.286300389467</v>
      </c>
      <c r="F69">
        <v>10908.25474934153</v>
      </c>
      <c r="G69">
        <v>384.8768546587151</v>
      </c>
      <c r="H69">
        <v>5413.2395161226577</v>
      </c>
      <c r="I69">
        <v>4779.9653900912554</v>
      </c>
      <c r="J69">
        <v>0</v>
      </c>
      <c r="K69">
        <v>747.12354113789809</v>
      </c>
      <c r="L69">
        <v>0</v>
      </c>
      <c r="M69" s="22">
        <v>10523.37789468281</v>
      </c>
      <c r="N69" s="22">
        <v>5527.0889312291538</v>
      </c>
      <c r="O69" s="53">
        <v>0.9647169172793707</v>
      </c>
      <c r="P69" s="53">
        <v>0.51440132344366596</v>
      </c>
      <c r="Q69" s="53">
        <v>0.52522003738189882</v>
      </c>
      <c r="R69" s="53">
        <v>0.47477996261810118</v>
      </c>
      <c r="S69" s="22">
        <f t="shared" si="2"/>
        <v>4996.2889634536559</v>
      </c>
    </row>
    <row r="70" spans="2:19" x14ac:dyDescent="0.25">
      <c r="B70" t="str">
        <f>+VLOOKUP(D70,[2]id!L:M,2,0)</f>
        <v>Nunca estudió</v>
      </c>
      <c r="C70">
        <v>2017</v>
      </c>
      <c r="D70">
        <v>1</v>
      </c>
      <c r="E70">
        <v>207152.77643184169</v>
      </c>
      <c r="F70">
        <v>49615.470305055293</v>
      </c>
      <c r="G70">
        <v>814.00097570889432</v>
      </c>
      <c r="H70">
        <v>32632.742614239669</v>
      </c>
      <c r="I70">
        <v>13340.10530091603</v>
      </c>
      <c r="J70">
        <v>0</v>
      </c>
      <c r="K70">
        <v>195.23024220756969</v>
      </c>
      <c r="L70">
        <v>0</v>
      </c>
      <c r="M70" s="22">
        <v>48801.469329346401</v>
      </c>
      <c r="N70" s="22">
        <v>13535.3355431236</v>
      </c>
      <c r="O70" s="53">
        <v>0.98359380711894706</v>
      </c>
      <c r="P70" s="53">
        <v>0.66868360856127362</v>
      </c>
      <c r="Q70" s="53">
        <v>0.27735508231888878</v>
      </c>
      <c r="R70" s="53">
        <v>0.72264491768111117</v>
      </c>
      <c r="S70" s="22">
        <f t="shared" si="2"/>
        <v>35266.133786222803</v>
      </c>
    </row>
    <row r="71" spans="2:19" x14ac:dyDescent="0.25">
      <c r="B71" t="str">
        <f>+VLOOKUP(D71,[2]id!L:M,2,0)</f>
        <v>Educación primaria (nivel 2)</v>
      </c>
      <c r="C71">
        <v>2017</v>
      </c>
      <c r="D71">
        <v>4</v>
      </c>
      <c r="E71">
        <v>1394123.358765665</v>
      </c>
      <c r="F71">
        <v>861953.96953460807</v>
      </c>
      <c r="G71">
        <v>48539.740082928431</v>
      </c>
      <c r="H71">
        <v>380551.71561226773</v>
      </c>
      <c r="I71">
        <v>363687.89690301329</v>
      </c>
      <c r="J71">
        <v>0</v>
      </c>
      <c r="K71">
        <v>18446.30558587642</v>
      </c>
      <c r="L71">
        <v>29.038240716775519</v>
      </c>
      <c r="M71" s="22">
        <v>813414.22945167962</v>
      </c>
      <c r="N71" s="22">
        <v>382163.24072960648</v>
      </c>
      <c r="O71" s="53">
        <v>0.94368638953059603</v>
      </c>
      <c r="P71" s="53">
        <v>0.46784492062401778</v>
      </c>
      <c r="Q71" s="53">
        <v>0.46982610691138482</v>
      </c>
      <c r="R71" s="53">
        <v>0.53017389308861529</v>
      </c>
      <c r="S71" s="22">
        <f t="shared" si="2"/>
        <v>431250.98872207315</v>
      </c>
    </row>
    <row r="72" spans="2:19" x14ac:dyDescent="0.25">
      <c r="B72" t="str">
        <f>+VLOOKUP(D72,[2]id!L:M,2,0)</f>
        <v>Educación Técnica (Educación Superior no Universitaria)</v>
      </c>
      <c r="C72">
        <v>2017</v>
      </c>
      <c r="D72">
        <v>6</v>
      </c>
      <c r="E72">
        <v>1651614.5009175199</v>
      </c>
      <c r="F72">
        <v>1269163.734151803</v>
      </c>
      <c r="G72">
        <v>83426.237177751755</v>
      </c>
      <c r="H72">
        <v>223387.60903068149</v>
      </c>
      <c r="I72">
        <v>806314.23973580368</v>
      </c>
      <c r="J72">
        <v>0</v>
      </c>
      <c r="K72">
        <v>64689.537340417453</v>
      </c>
      <c r="L72">
        <v>686.58004613224728</v>
      </c>
      <c r="M72" s="22">
        <v>1185737.4969740519</v>
      </c>
      <c r="N72" s="22">
        <v>871690.35712235339</v>
      </c>
      <c r="O72" s="53">
        <v>0.93426676564036359</v>
      </c>
      <c r="P72" s="53">
        <v>0.18839550035379371</v>
      </c>
      <c r="Q72" s="53">
        <v>0.73514615110584569</v>
      </c>
      <c r="R72" s="53">
        <v>0.26485384889415431</v>
      </c>
      <c r="S72" s="22">
        <f t="shared" si="2"/>
        <v>314047.13985169854</v>
      </c>
    </row>
    <row r="73" spans="2:19" x14ac:dyDescent="0.25">
      <c r="B73" t="str">
        <f>+VLOOKUP(D73,[2]id!L:M,2,0)</f>
        <v>Post títulos y maestría</v>
      </c>
      <c r="C73">
        <v>2017</v>
      </c>
      <c r="D73">
        <v>8</v>
      </c>
      <c r="E73">
        <v>239022.43878934611</v>
      </c>
      <c r="F73">
        <v>222412.93300895419</v>
      </c>
      <c r="G73">
        <v>8856.5128245855449</v>
      </c>
      <c r="H73">
        <v>24235.55987964922</v>
      </c>
      <c r="I73">
        <v>141859.71544088519</v>
      </c>
      <c r="J73">
        <v>0</v>
      </c>
      <c r="K73">
        <v>21039.497356256361</v>
      </c>
      <c r="L73">
        <v>0</v>
      </c>
      <c r="M73" s="22">
        <v>213556.4201843687</v>
      </c>
      <c r="N73" s="22">
        <v>162899.21279714149</v>
      </c>
      <c r="O73" s="53">
        <v>0.96017986587034942</v>
      </c>
      <c r="P73" s="53">
        <v>0.11348551290907589</v>
      </c>
      <c r="Q73" s="53">
        <v>0.76279239301963631</v>
      </c>
      <c r="R73" s="53">
        <v>0.23720760698036369</v>
      </c>
      <c r="S73" s="22">
        <f t="shared" si="2"/>
        <v>50657.207387227216</v>
      </c>
    </row>
    <row r="74" spans="2:19" x14ac:dyDescent="0.25">
      <c r="B74" t="str">
        <f>+VLOOKUP(D74,[2]id!L:M,2,0)</f>
        <v>Nivel ignorado</v>
      </c>
      <c r="C74">
        <v>2017</v>
      </c>
      <c r="D74">
        <v>999</v>
      </c>
      <c r="E74">
        <v>61339.393073939122</v>
      </c>
      <c r="F74">
        <v>37310.543666237973</v>
      </c>
      <c r="G74">
        <v>645.08261899356569</v>
      </c>
      <c r="H74">
        <v>11542.52567180577</v>
      </c>
      <c r="I74">
        <v>22003.329532465272</v>
      </c>
      <c r="J74">
        <v>0</v>
      </c>
      <c r="K74">
        <v>512.38208169449149</v>
      </c>
      <c r="L74">
        <v>0</v>
      </c>
      <c r="M74" s="22">
        <v>36665.461047244396</v>
      </c>
      <c r="N74" s="22">
        <v>22515.711614159762</v>
      </c>
      <c r="O74" s="53">
        <v>0.98271044708530209</v>
      </c>
      <c r="P74" s="53">
        <v>0.31480650569027158</v>
      </c>
      <c r="Q74" s="53">
        <v>0.6140850536462007</v>
      </c>
      <c r="R74" s="53">
        <v>0.3859149463537993</v>
      </c>
      <c r="S74" s="22">
        <f t="shared" si="2"/>
        <v>14149.749433084635</v>
      </c>
    </row>
    <row r="75" spans="2:19" x14ac:dyDescent="0.25">
      <c r="B75" t="str">
        <f>+VLOOKUP(D75,[2]id!L:M,2,0)</f>
        <v>Doctorado</v>
      </c>
      <c r="C75">
        <v>2017</v>
      </c>
      <c r="D75">
        <v>9</v>
      </c>
      <c r="E75">
        <v>42934.371826825867</v>
      </c>
      <c r="F75">
        <v>36967.577439297267</v>
      </c>
      <c r="G75">
        <v>402.32377653516011</v>
      </c>
      <c r="H75">
        <v>7249.7879235465434</v>
      </c>
      <c r="I75">
        <v>24476.652088890991</v>
      </c>
      <c r="J75">
        <v>0</v>
      </c>
      <c r="K75">
        <v>3122.3615803903731</v>
      </c>
      <c r="L75">
        <v>0</v>
      </c>
      <c r="M75" s="22">
        <v>36565.253662762108</v>
      </c>
      <c r="N75" s="22">
        <v>27599.013669281361</v>
      </c>
      <c r="O75" s="53">
        <v>0.98911684767021057</v>
      </c>
      <c r="P75" s="53">
        <v>0.1982698654414011</v>
      </c>
      <c r="Q75" s="53">
        <v>0.75478797231449457</v>
      </c>
      <c r="R75" s="53">
        <v>0.2452120276855054</v>
      </c>
      <c r="S75" s="22">
        <f t="shared" si="2"/>
        <v>8966.2399934807472</v>
      </c>
    </row>
    <row r="76" spans="2:19" x14ac:dyDescent="0.25">
      <c r="B76" t="str">
        <f>+VLOOKUP(D76,[2]id!L:M,2,0)</f>
        <v>Educación universitaria</v>
      </c>
      <c r="C76">
        <v>2018</v>
      </c>
      <c r="D76">
        <v>7</v>
      </c>
      <c r="E76">
        <v>3078992.963047483</v>
      </c>
      <c r="F76">
        <v>2245649.0590678011</v>
      </c>
      <c r="G76">
        <v>184307.2596193522</v>
      </c>
      <c r="H76">
        <v>354435.98263637658</v>
      </c>
      <c r="I76">
        <v>1386195.6782076119</v>
      </c>
      <c r="J76">
        <v>0</v>
      </c>
      <c r="K76">
        <v>144329.73503703909</v>
      </c>
      <c r="L76">
        <v>641.20579591198577</v>
      </c>
      <c r="M76" s="22">
        <v>2061341.7994484489</v>
      </c>
      <c r="N76" s="22">
        <v>1531166.619040563</v>
      </c>
      <c r="O76" s="53">
        <v>0.91792695351255793</v>
      </c>
      <c r="P76" s="53">
        <v>0.1719443047878875</v>
      </c>
      <c r="Q76" s="53">
        <v>0.74280093648237056</v>
      </c>
      <c r="R76" s="53">
        <v>0.25719906351762939</v>
      </c>
      <c r="S76" s="22">
        <f t="shared" si="2"/>
        <v>530175.18040788593</v>
      </c>
    </row>
    <row r="77" spans="2:19" x14ac:dyDescent="0.25">
      <c r="B77" t="str">
        <f>+VLOOKUP(D77,[2]id!L:M,2,0)</f>
        <v>Educación primaria (nivel 1)</v>
      </c>
      <c r="C77">
        <v>2018</v>
      </c>
      <c r="D77">
        <v>3</v>
      </c>
      <c r="E77">
        <v>1613048.5966530819</v>
      </c>
      <c r="F77">
        <v>606730.90579588432</v>
      </c>
      <c r="G77">
        <v>23871.390831175861</v>
      </c>
      <c r="H77">
        <v>332399.13349304459</v>
      </c>
      <c r="I77">
        <v>201275.6422396311</v>
      </c>
      <c r="J77">
        <v>0</v>
      </c>
      <c r="K77">
        <v>7046.1092949857602</v>
      </c>
      <c r="L77">
        <v>204.64171883641339</v>
      </c>
      <c r="M77" s="22">
        <v>582859.51496470848</v>
      </c>
      <c r="N77" s="22">
        <v>208526.39325345331</v>
      </c>
      <c r="O77" s="53">
        <v>0.96065571968867758</v>
      </c>
      <c r="P77" s="53">
        <v>0.57029031002980379</v>
      </c>
      <c r="Q77" s="53">
        <v>0.35776441475109028</v>
      </c>
      <c r="R77" s="53">
        <v>0.64223558524890967</v>
      </c>
      <c r="S77" s="22">
        <f t="shared" si="2"/>
        <v>374333.12171125517</v>
      </c>
    </row>
    <row r="78" spans="2:19" x14ac:dyDescent="0.25">
      <c r="B78" t="str">
        <f>+VLOOKUP(D78,[2]id!L:M,2,0)</f>
        <v>Educación secundaria</v>
      </c>
      <c r="C78">
        <v>2018</v>
      </c>
      <c r="D78">
        <v>5</v>
      </c>
      <c r="E78">
        <v>6736107.6859463425</v>
      </c>
      <c r="F78">
        <v>4231834.0196629604</v>
      </c>
      <c r="G78">
        <v>301642.35931770143</v>
      </c>
      <c r="H78">
        <v>1190325.811809846</v>
      </c>
      <c r="I78">
        <v>2374893.9044606308</v>
      </c>
      <c r="J78">
        <v>0</v>
      </c>
      <c r="K78">
        <v>117695.486975176</v>
      </c>
      <c r="L78">
        <v>360.0051997624397</v>
      </c>
      <c r="M78" s="22">
        <v>3930191.6603452582</v>
      </c>
      <c r="N78" s="22">
        <v>2492949.3966355692</v>
      </c>
      <c r="O78" s="53">
        <v>0.92872065446892804</v>
      </c>
      <c r="P78" s="53">
        <v>0.30286711557096913</v>
      </c>
      <c r="Q78" s="53">
        <v>0.63430733462412603</v>
      </c>
      <c r="R78" s="53">
        <v>0.36569266537587403</v>
      </c>
      <c r="S78" s="22">
        <f t="shared" si="2"/>
        <v>1437242.263709689</v>
      </c>
    </row>
    <row r="79" spans="2:19" x14ac:dyDescent="0.25">
      <c r="B79" t="str">
        <f>+VLOOKUP(D79,[2]id!L:M,2,0)</f>
        <v>Educación primaria (nivel 2)</v>
      </c>
      <c r="C79">
        <v>2018</v>
      </c>
      <c r="D79">
        <v>4</v>
      </c>
      <c r="E79">
        <v>1419578.0763296499</v>
      </c>
      <c r="F79">
        <v>873562.24287628441</v>
      </c>
      <c r="G79">
        <v>48306.244736203887</v>
      </c>
      <c r="H79">
        <v>379643.68419522728</v>
      </c>
      <c r="I79">
        <v>366756.79279095412</v>
      </c>
      <c r="J79">
        <v>0</v>
      </c>
      <c r="K79">
        <v>21008.892580890719</v>
      </c>
      <c r="L79">
        <v>0</v>
      </c>
      <c r="M79" s="22">
        <v>825255.99814008048</v>
      </c>
      <c r="N79" s="22">
        <v>387765.68537184491</v>
      </c>
      <c r="O79" s="53">
        <v>0.9447020001950277</v>
      </c>
      <c r="P79" s="53">
        <v>0.46003141455602709</v>
      </c>
      <c r="Q79" s="53">
        <v>0.46987321055014591</v>
      </c>
      <c r="R79" s="53">
        <v>0.53012678944985403</v>
      </c>
      <c r="S79" s="22">
        <f t="shared" si="2"/>
        <v>437490.31276823557</v>
      </c>
    </row>
    <row r="80" spans="2:19" x14ac:dyDescent="0.25">
      <c r="B80" t="str">
        <f>+VLOOKUP(D80,[2]id!L:M,2,0)</f>
        <v>Nunca estudió</v>
      </c>
      <c r="C80">
        <v>2018</v>
      </c>
      <c r="D80">
        <v>1</v>
      </c>
      <c r="E80">
        <v>181442.912956165</v>
      </c>
      <c r="F80">
        <v>49851.00085526098</v>
      </c>
      <c r="G80">
        <v>840.64356747578552</v>
      </c>
      <c r="H80">
        <v>33198.659060820057</v>
      </c>
      <c r="I80">
        <v>13246.80568710714</v>
      </c>
      <c r="J80">
        <v>0</v>
      </c>
      <c r="K80">
        <v>295.87111248979261</v>
      </c>
      <c r="L80">
        <v>0</v>
      </c>
      <c r="M80" s="22">
        <v>49010.357287785198</v>
      </c>
      <c r="N80" s="22">
        <v>13542.676799596929</v>
      </c>
      <c r="O80" s="53">
        <v>0.98313687683189066</v>
      </c>
      <c r="P80" s="53">
        <v>0.67738047421037939</v>
      </c>
      <c r="Q80" s="53">
        <v>0.27632275194558042</v>
      </c>
      <c r="R80" s="53">
        <v>0.72367724805441958</v>
      </c>
      <c r="S80" s="22">
        <f t="shared" si="2"/>
        <v>35467.680488188271</v>
      </c>
    </row>
    <row r="81" spans="2:19" x14ac:dyDescent="0.25">
      <c r="B81" t="str">
        <f>+VLOOKUP(D81,[2]id!L:M,2,0)</f>
        <v>Educación preescolar</v>
      </c>
      <c r="C81">
        <v>2018</v>
      </c>
      <c r="D81">
        <v>2</v>
      </c>
      <c r="E81">
        <v>77361.583339580771</v>
      </c>
      <c r="F81">
        <v>11150.469550819769</v>
      </c>
      <c r="G81">
        <v>1018.5216263323</v>
      </c>
      <c r="H81">
        <v>4714.1557440945071</v>
      </c>
      <c r="I81">
        <v>5092.5800282257287</v>
      </c>
      <c r="J81">
        <v>0</v>
      </c>
      <c r="K81">
        <v>138.29773463765841</v>
      </c>
      <c r="L81">
        <v>0</v>
      </c>
      <c r="M81" s="22">
        <v>10131.947924487469</v>
      </c>
      <c r="N81" s="22">
        <v>5230.877762863387</v>
      </c>
      <c r="O81" s="53">
        <v>0.90865661560795707</v>
      </c>
      <c r="P81" s="53">
        <v>0.46527634954588232</v>
      </c>
      <c r="Q81" s="53">
        <v>0.51627562654769521</v>
      </c>
      <c r="R81" s="53">
        <v>0.48372437345230479</v>
      </c>
      <c r="S81" s="22">
        <f t="shared" si="2"/>
        <v>4901.0701616240822</v>
      </c>
    </row>
    <row r="82" spans="2:19" x14ac:dyDescent="0.25">
      <c r="B82" t="str">
        <f>+VLOOKUP(D82,[2]id!L:M,2,0)</f>
        <v>Educación Técnica (Educación Superior no Universitaria)</v>
      </c>
      <c r="C82">
        <v>2018</v>
      </c>
      <c r="D82">
        <v>6</v>
      </c>
      <c r="E82">
        <v>1735265.928876444</v>
      </c>
      <c r="F82">
        <v>1312972.6031339229</v>
      </c>
      <c r="G82">
        <v>105579.40689132259</v>
      </c>
      <c r="H82">
        <v>215515.41114637899</v>
      </c>
      <c r="I82">
        <v>849013.29439811315</v>
      </c>
      <c r="J82">
        <v>0</v>
      </c>
      <c r="K82">
        <v>57858.156264854981</v>
      </c>
      <c r="L82">
        <v>125.9055762436266</v>
      </c>
      <c r="M82" s="22">
        <v>1207393.1962426</v>
      </c>
      <c r="N82" s="22">
        <v>906997.35623921175</v>
      </c>
      <c r="O82" s="53">
        <v>0.9195875019483909</v>
      </c>
      <c r="P82" s="53">
        <v>0.17849645982523471</v>
      </c>
      <c r="Q82" s="53">
        <v>0.75120297104686495</v>
      </c>
      <c r="R82" s="53">
        <v>0.24879702895313499</v>
      </c>
      <c r="S82" s="22">
        <f t="shared" si="2"/>
        <v>300395.84000338824</v>
      </c>
    </row>
    <row r="83" spans="2:19" x14ac:dyDescent="0.25">
      <c r="B83" t="str">
        <f>+VLOOKUP(D83,[2]id!L:M,2,0)</f>
        <v>Doctorado</v>
      </c>
      <c r="C83">
        <v>2018</v>
      </c>
      <c r="D83">
        <v>9</v>
      </c>
      <c r="E83">
        <v>42695.036320697749</v>
      </c>
      <c r="F83">
        <v>38290.542618242813</v>
      </c>
      <c r="G83">
        <v>979.62567940456483</v>
      </c>
      <c r="H83">
        <v>8007.6086592243591</v>
      </c>
      <c r="I83">
        <v>24577.433161428879</v>
      </c>
      <c r="J83">
        <v>0</v>
      </c>
      <c r="K83">
        <v>3176.331382752765</v>
      </c>
      <c r="L83">
        <v>0</v>
      </c>
      <c r="M83" s="22">
        <v>37310.916938838243</v>
      </c>
      <c r="N83" s="22">
        <v>27753.764544181638</v>
      </c>
      <c r="O83" s="53">
        <v>0.97441598858570788</v>
      </c>
      <c r="P83" s="53">
        <v>0.2146183829346997</v>
      </c>
      <c r="Q83" s="53">
        <v>0.74385104471371954</v>
      </c>
      <c r="R83" s="53">
        <v>0.25614895528628051</v>
      </c>
      <c r="S83" s="22">
        <f t="shared" si="2"/>
        <v>9557.1523946566049</v>
      </c>
    </row>
    <row r="84" spans="2:19" x14ac:dyDescent="0.25">
      <c r="B84" t="str">
        <f>+VLOOKUP(D84,[2]id!L:M,2,0)</f>
        <v>Post títulos y maestría</v>
      </c>
      <c r="C84">
        <v>2018</v>
      </c>
      <c r="D84">
        <v>8</v>
      </c>
      <c r="E84">
        <v>273314.67295967939</v>
      </c>
      <c r="F84">
        <v>249947.53540135431</v>
      </c>
      <c r="G84">
        <v>12186.171851685771</v>
      </c>
      <c r="H84">
        <v>27387.832982945929</v>
      </c>
      <c r="I84">
        <v>170187.5864458284</v>
      </c>
      <c r="J84">
        <v>0</v>
      </c>
      <c r="K84">
        <v>25789.922587291901</v>
      </c>
      <c r="L84">
        <v>0</v>
      </c>
      <c r="M84" s="22">
        <v>237761.3635496686</v>
      </c>
      <c r="N84" s="22">
        <v>195977.5090331203</v>
      </c>
      <c r="O84" s="53">
        <v>0.95124508096422011</v>
      </c>
      <c r="P84" s="53">
        <v>0.11519042696449119</v>
      </c>
      <c r="Q84" s="53">
        <v>0.82426137748903183</v>
      </c>
      <c r="R84" s="53">
        <v>0.1757386225109682</v>
      </c>
      <c r="S84" s="22">
        <f t="shared" si="2"/>
        <v>41783.854516548308</v>
      </c>
    </row>
    <row r="85" spans="2:19" x14ac:dyDescent="0.25">
      <c r="B85" t="str">
        <f>+VLOOKUP(D85,[2]id!L:M,2,0)</f>
        <v>Nivel ignorado</v>
      </c>
      <c r="C85">
        <v>2018</v>
      </c>
      <c r="D85">
        <v>999</v>
      </c>
      <c r="E85">
        <v>24285.543570944988</v>
      </c>
      <c r="F85">
        <v>14332.05974791154</v>
      </c>
      <c r="G85">
        <v>89.37196777379063</v>
      </c>
      <c r="H85">
        <v>3982.1273778328882</v>
      </c>
      <c r="I85">
        <v>9737.0791954008037</v>
      </c>
      <c r="J85">
        <v>0</v>
      </c>
      <c r="K85">
        <v>0</v>
      </c>
      <c r="L85">
        <v>0</v>
      </c>
      <c r="M85" s="22">
        <v>14242.68778013775</v>
      </c>
      <c r="N85" s="22">
        <v>9737.0791954008037</v>
      </c>
      <c r="O85" s="53">
        <v>0.99376419235296498</v>
      </c>
      <c r="P85" s="53">
        <v>0.27959100412115978</v>
      </c>
      <c r="Q85" s="53">
        <v>0.68365461250788073</v>
      </c>
      <c r="R85" s="53">
        <v>0.31634538749211932</v>
      </c>
      <c r="S85" s="22">
        <f t="shared" si="2"/>
        <v>4505.6085847369468</v>
      </c>
    </row>
    <row r="86" spans="2:19" x14ac:dyDescent="0.25">
      <c r="B86" t="str">
        <f>+VLOOKUP(D86,[2]id!L:M,2,0)</f>
        <v>Educación secundaria</v>
      </c>
      <c r="C86">
        <v>2019</v>
      </c>
      <c r="D86">
        <v>5</v>
      </c>
      <c r="E86">
        <v>6785361.7516936529</v>
      </c>
      <c r="F86">
        <v>4198762.9707209021</v>
      </c>
      <c r="G86">
        <v>331466.75450182689</v>
      </c>
      <c r="H86">
        <v>1202184.3890380191</v>
      </c>
      <c r="I86">
        <v>2300518.154798002</v>
      </c>
      <c r="J86">
        <v>40214.166503359113</v>
      </c>
      <c r="K86">
        <v>112311.4868178625</v>
      </c>
      <c r="L86">
        <v>0</v>
      </c>
      <c r="M86" s="22">
        <v>3867296.216219075</v>
      </c>
      <c r="N86" s="22">
        <v>2453043.808119223</v>
      </c>
      <c r="O86" s="53">
        <v>0.92105609275559652</v>
      </c>
      <c r="P86" s="53">
        <v>0.31085914339743898</v>
      </c>
      <c r="Q86" s="53">
        <v>0.63430460739764105</v>
      </c>
      <c r="R86" s="53">
        <v>0.36569539260235889</v>
      </c>
      <c r="S86" s="22">
        <f t="shared" si="2"/>
        <v>1414252.408099852</v>
      </c>
    </row>
    <row r="87" spans="2:19" x14ac:dyDescent="0.25">
      <c r="B87" t="str">
        <f>+VLOOKUP(D87,[2]id!L:M,2,0)</f>
        <v>Post títulos y maestría</v>
      </c>
      <c r="C87">
        <v>2019</v>
      </c>
      <c r="D87">
        <v>8</v>
      </c>
      <c r="E87">
        <v>288880.93984120549</v>
      </c>
      <c r="F87">
        <v>263739.66583530261</v>
      </c>
      <c r="G87">
        <v>4495.2747202844384</v>
      </c>
      <c r="H87">
        <v>29912.011405935249</v>
      </c>
      <c r="I87">
        <v>188199.95348716111</v>
      </c>
      <c r="J87">
        <v>18439.246309695871</v>
      </c>
      <c r="K87">
        <v>19061.302668384211</v>
      </c>
      <c r="L87">
        <v>127.3984830150099</v>
      </c>
      <c r="M87" s="22">
        <v>259244.39111501811</v>
      </c>
      <c r="N87" s="22">
        <v>225827.90094825611</v>
      </c>
      <c r="O87" s="53">
        <v>0.98295563655149387</v>
      </c>
      <c r="P87" s="53">
        <v>0.1153815181006724</v>
      </c>
      <c r="Q87" s="53">
        <v>0.87110043143831728</v>
      </c>
      <c r="R87" s="53">
        <v>0.12889956856168269</v>
      </c>
      <c r="S87" s="22">
        <f t="shared" si="2"/>
        <v>33416.490166762</v>
      </c>
    </row>
    <row r="88" spans="2:19" x14ac:dyDescent="0.25">
      <c r="B88" t="str">
        <f>+VLOOKUP(D88,[2]id!L:M,2,0)</f>
        <v>Educación primaria (nivel 2)</v>
      </c>
      <c r="C88">
        <v>2019</v>
      </c>
      <c r="D88">
        <v>4</v>
      </c>
      <c r="E88">
        <v>1430981.5677438001</v>
      </c>
      <c r="F88">
        <v>865876.17535966658</v>
      </c>
      <c r="G88">
        <v>41663.331332722599</v>
      </c>
      <c r="H88">
        <v>375078.23120269668</v>
      </c>
      <c r="I88">
        <v>362803.7411987994</v>
      </c>
      <c r="J88">
        <v>21352.713765287281</v>
      </c>
      <c r="K88">
        <v>20292.37643082457</v>
      </c>
      <c r="L88">
        <v>0</v>
      </c>
      <c r="M88" s="22">
        <v>824212.84402694402</v>
      </c>
      <c r="N88" s="22">
        <v>404448.83139491128</v>
      </c>
      <c r="O88" s="53">
        <v>0.95188303764632798</v>
      </c>
      <c r="P88" s="53">
        <v>0.45507447975469212</v>
      </c>
      <c r="Q88" s="53">
        <v>0.49070920736790852</v>
      </c>
      <c r="R88" s="53">
        <v>0.50929079263209154</v>
      </c>
      <c r="S88" s="22">
        <f t="shared" si="2"/>
        <v>419764.01263203274</v>
      </c>
    </row>
    <row r="89" spans="2:19" x14ac:dyDescent="0.25">
      <c r="B89" t="str">
        <f>+VLOOKUP(D89,[2]id!L:M,2,0)</f>
        <v>Educación primaria (nivel 1)</v>
      </c>
      <c r="C89">
        <v>2019</v>
      </c>
      <c r="D89">
        <v>3</v>
      </c>
      <c r="E89">
        <v>1586901.687106031</v>
      </c>
      <c r="F89">
        <v>582462.08150927082</v>
      </c>
      <c r="G89">
        <v>22785.51761587882</v>
      </c>
      <c r="H89">
        <v>324675.3149160929</v>
      </c>
      <c r="I89">
        <v>196642.7356270403</v>
      </c>
      <c r="J89">
        <v>1455.638493265295</v>
      </c>
      <c r="K89">
        <v>6627.3942322272787</v>
      </c>
      <c r="L89">
        <v>0</v>
      </c>
      <c r="M89" s="22">
        <v>559676.5638933921</v>
      </c>
      <c r="N89" s="22">
        <v>204725.7683525329</v>
      </c>
      <c r="O89" s="53">
        <v>0.96088068504504676</v>
      </c>
      <c r="P89" s="53">
        <v>0.58011240037904743</v>
      </c>
      <c r="Q89" s="53">
        <v>0.36579299824233719</v>
      </c>
      <c r="R89" s="53">
        <v>0.63420700175766276</v>
      </c>
      <c r="S89" s="22">
        <f t="shared" si="2"/>
        <v>354950.79554085922</v>
      </c>
    </row>
    <row r="90" spans="2:19" x14ac:dyDescent="0.25">
      <c r="B90" t="str">
        <f>+VLOOKUP(D90,[2]id!L:M,2,0)</f>
        <v>Educación Técnica (Educación Superior no Universitaria)</v>
      </c>
      <c r="C90">
        <v>2019</v>
      </c>
      <c r="D90">
        <v>6</v>
      </c>
      <c r="E90">
        <v>1785192.1664843599</v>
      </c>
      <c r="F90">
        <v>1373303.088334891</v>
      </c>
      <c r="G90">
        <v>96203.561046175135</v>
      </c>
      <c r="H90">
        <v>248071.57059209779</v>
      </c>
      <c r="I90">
        <v>872334.28148027638</v>
      </c>
      <c r="J90">
        <v>33471.194904751283</v>
      </c>
      <c r="K90">
        <v>44993.807941922933</v>
      </c>
      <c r="L90">
        <v>936.15404140371425</v>
      </c>
      <c r="M90" s="22">
        <v>1277099.5272887161</v>
      </c>
      <c r="N90" s="22">
        <v>951735.43836835423</v>
      </c>
      <c r="O90" s="53">
        <v>0.9299473205417309</v>
      </c>
      <c r="P90" s="53">
        <v>0.19424607502498581</v>
      </c>
      <c r="Q90" s="53">
        <v>0.74523200269981293</v>
      </c>
      <c r="R90" s="53">
        <v>0.25476799730018712</v>
      </c>
      <c r="S90" s="22">
        <f t="shared" ref="S90:S125" si="3">+M90-N90</f>
        <v>325364.08892036183</v>
      </c>
    </row>
    <row r="91" spans="2:19" x14ac:dyDescent="0.25">
      <c r="B91" t="str">
        <f>+VLOOKUP(D91,[2]id!L:M,2,0)</f>
        <v>Nunca estudió</v>
      </c>
      <c r="C91">
        <v>2019</v>
      </c>
      <c r="D91">
        <v>1</v>
      </c>
      <c r="E91">
        <v>182859.0841441045</v>
      </c>
      <c r="F91">
        <v>43066.538816021377</v>
      </c>
      <c r="G91">
        <v>627.74575111632191</v>
      </c>
      <c r="H91">
        <v>27518.30753086285</v>
      </c>
      <c r="I91">
        <v>12590.37899759042</v>
      </c>
      <c r="J91">
        <v>0</v>
      </c>
      <c r="K91">
        <v>1100.437182350398</v>
      </c>
      <c r="L91">
        <v>0</v>
      </c>
      <c r="M91" s="22">
        <v>42438.793064905047</v>
      </c>
      <c r="N91" s="22">
        <v>13690.816179940821</v>
      </c>
      <c r="O91" s="53">
        <v>0.9854238169963454</v>
      </c>
      <c r="P91" s="53">
        <v>0.6484234245016558</v>
      </c>
      <c r="Q91" s="53">
        <v>0.32260145002244411</v>
      </c>
      <c r="R91" s="53">
        <v>0.67739854997755589</v>
      </c>
      <c r="S91" s="22">
        <f t="shared" si="3"/>
        <v>28747.976884964228</v>
      </c>
    </row>
    <row r="92" spans="2:19" x14ac:dyDescent="0.25">
      <c r="B92" t="str">
        <f>+VLOOKUP(D92,[2]id!L:M,2,0)</f>
        <v>Educación universitaria</v>
      </c>
      <c r="C92">
        <v>2019</v>
      </c>
      <c r="D92">
        <v>7</v>
      </c>
      <c r="E92">
        <v>3275447.0212340662</v>
      </c>
      <c r="F92">
        <v>2386884.338631663</v>
      </c>
      <c r="G92">
        <v>169182.34874044801</v>
      </c>
      <c r="H92">
        <v>363097.96806607331</v>
      </c>
      <c r="I92">
        <v>1533809.5025078419</v>
      </c>
      <c r="J92">
        <v>101071.1116792722</v>
      </c>
      <c r="K92">
        <v>132311.9976379798</v>
      </c>
      <c r="L92">
        <v>1619.5314886517981</v>
      </c>
      <c r="M92" s="22">
        <v>2217701.9898912162</v>
      </c>
      <c r="N92" s="22">
        <v>1768812.143313746</v>
      </c>
      <c r="O92" s="53">
        <v>0.929120005522582</v>
      </c>
      <c r="P92" s="53">
        <v>0.1637271237168724</v>
      </c>
      <c r="Q92" s="53">
        <v>0.79758784154786766</v>
      </c>
      <c r="R92" s="53">
        <v>0.20241215845213231</v>
      </c>
      <c r="S92" s="22">
        <f t="shared" si="3"/>
        <v>448889.84657747019</v>
      </c>
    </row>
    <row r="93" spans="2:19" x14ac:dyDescent="0.25">
      <c r="B93" t="str">
        <f>+VLOOKUP(D93,[2]id!L:M,2,0)</f>
        <v>Educación preescolar</v>
      </c>
      <c r="C93">
        <v>2019</v>
      </c>
      <c r="D93">
        <v>2</v>
      </c>
      <c r="E93">
        <v>68579.892239328503</v>
      </c>
      <c r="F93">
        <v>7852.9771930126753</v>
      </c>
      <c r="G93">
        <v>1107.578258443936</v>
      </c>
      <c r="H93">
        <v>2878.008350061883</v>
      </c>
      <c r="I93">
        <v>3867.3905845068571</v>
      </c>
      <c r="J93">
        <v>124.81816313154729</v>
      </c>
      <c r="K93">
        <v>0</v>
      </c>
      <c r="L93">
        <v>0</v>
      </c>
      <c r="M93" s="22">
        <v>6745.3989345687387</v>
      </c>
      <c r="N93" s="22">
        <v>3992.208747638404</v>
      </c>
      <c r="O93" s="53">
        <v>0.85896071881764502</v>
      </c>
      <c r="P93" s="53">
        <v>0.42666243731155762</v>
      </c>
      <c r="Q93" s="53">
        <v>0.59184175559716423</v>
      </c>
      <c r="R93" s="53">
        <v>0.40815824440283582</v>
      </c>
      <c r="S93" s="22">
        <f t="shared" si="3"/>
        <v>2753.1901869303347</v>
      </c>
    </row>
    <row r="94" spans="2:19" x14ac:dyDescent="0.25">
      <c r="B94" t="str">
        <f>+VLOOKUP(D94,[2]id!L:M,2,0)</f>
        <v>Nivel ignorado</v>
      </c>
      <c r="C94">
        <v>2019</v>
      </c>
      <c r="D94">
        <v>999</v>
      </c>
      <c r="E94">
        <v>65383.380275134492</v>
      </c>
      <c r="F94">
        <v>44560.51361528752</v>
      </c>
      <c r="G94">
        <v>794.66695127893308</v>
      </c>
      <c r="H94">
        <v>3886.6701492471179</v>
      </c>
      <c r="I94">
        <v>39614.233136696777</v>
      </c>
      <c r="J94">
        <v>0</v>
      </c>
      <c r="K94">
        <v>50.868251021475793</v>
      </c>
      <c r="L94">
        <v>0</v>
      </c>
      <c r="M94" s="22">
        <v>43765.846664008583</v>
      </c>
      <c r="N94" s="22">
        <v>39665.101387718263</v>
      </c>
      <c r="O94" s="53">
        <v>0.98216656661232238</v>
      </c>
      <c r="P94" s="53">
        <v>8.8806008463292715E-2</v>
      </c>
      <c r="Q94" s="53">
        <v>0.90630261747769103</v>
      </c>
      <c r="R94" s="53">
        <v>9.369738252230897E-2</v>
      </c>
      <c r="S94" s="22">
        <f t="shared" si="3"/>
        <v>4100.7452762903195</v>
      </c>
    </row>
    <row r="95" spans="2:19" x14ac:dyDescent="0.25">
      <c r="B95" t="str">
        <f>+VLOOKUP(D95,[2]id!L:M,2,0)</f>
        <v>Doctorado</v>
      </c>
      <c r="C95">
        <v>2019</v>
      </c>
      <c r="D95">
        <v>9</v>
      </c>
      <c r="E95">
        <v>46265.529028118537</v>
      </c>
      <c r="F95">
        <v>41862.590737762039</v>
      </c>
      <c r="G95">
        <v>0</v>
      </c>
      <c r="H95">
        <v>3421.379268640505</v>
      </c>
      <c r="I95">
        <v>30710.165096567689</v>
      </c>
      <c r="J95">
        <v>3177.033302751443</v>
      </c>
      <c r="K95">
        <v>3261.4378554394862</v>
      </c>
      <c r="L95">
        <v>0</v>
      </c>
      <c r="M95" s="22">
        <v>41862.590737762039</v>
      </c>
      <c r="N95" s="22">
        <v>37148.636254758618</v>
      </c>
      <c r="O95" s="53">
        <v>1</v>
      </c>
      <c r="P95" s="53">
        <v>8.1728799110234215E-2</v>
      </c>
      <c r="Q95" s="53">
        <v>0.88739458308892449</v>
      </c>
      <c r="R95" s="53">
        <v>0.11260541691107551</v>
      </c>
      <c r="S95" s="22">
        <f t="shared" si="3"/>
        <v>4713.954483003421</v>
      </c>
    </row>
    <row r="96" spans="2:19" x14ac:dyDescent="0.25">
      <c r="B96" t="str">
        <f>+VLOOKUP(D96,[2]id!L:M,2,0)</f>
        <v>Educación Técnica (Educación Superior no Universitaria)</v>
      </c>
      <c r="C96">
        <v>2020</v>
      </c>
      <c r="D96">
        <v>6</v>
      </c>
      <c r="E96">
        <v>1934665.416982766</v>
      </c>
      <c r="F96">
        <v>1356898.0752041021</v>
      </c>
      <c r="G96">
        <v>138783.05850387769</v>
      </c>
      <c r="H96">
        <v>232085.65421442289</v>
      </c>
      <c r="I96">
        <v>875514.70259394275</v>
      </c>
      <c r="J96">
        <v>34129.494329047739</v>
      </c>
      <c r="K96">
        <v>36274.837362550308</v>
      </c>
      <c r="L96">
        <v>395.95693551037482</v>
      </c>
      <c r="M96" s="22">
        <v>1218115.016700224</v>
      </c>
      <c r="N96" s="22">
        <v>946314.9912210512</v>
      </c>
      <c r="O96" s="53">
        <v>0.89772035126293326</v>
      </c>
      <c r="P96" s="53">
        <v>0.19052852237477891</v>
      </c>
      <c r="Q96" s="53">
        <v>0.77686834022007412</v>
      </c>
      <c r="R96" s="53">
        <v>0.22313165977992591</v>
      </c>
      <c r="S96" s="22">
        <f t="shared" si="3"/>
        <v>271800.02547917282</v>
      </c>
    </row>
    <row r="97" spans="2:19" x14ac:dyDescent="0.25">
      <c r="B97" t="str">
        <f>+VLOOKUP(D97,[2]id!L:M,2,0)</f>
        <v>Educación universitaria</v>
      </c>
      <c r="C97">
        <v>2020</v>
      </c>
      <c r="D97">
        <v>7</v>
      </c>
      <c r="E97">
        <v>3400681.3089170861</v>
      </c>
      <c r="F97">
        <v>2265238.04667093</v>
      </c>
      <c r="G97">
        <v>226653.14927849479</v>
      </c>
      <c r="H97">
        <v>337250.79848786222</v>
      </c>
      <c r="I97">
        <v>1473071.212539979</v>
      </c>
      <c r="J97">
        <v>79535.135533126217</v>
      </c>
      <c r="K97">
        <v>88299.465970678604</v>
      </c>
      <c r="L97">
        <v>1044.981504671455</v>
      </c>
      <c r="M97" s="22">
        <v>2038584.897392435</v>
      </c>
      <c r="N97" s="22">
        <v>1641950.7955484551</v>
      </c>
      <c r="O97" s="53">
        <v>0.89994290021236756</v>
      </c>
      <c r="P97" s="53">
        <v>0.16543377659632499</v>
      </c>
      <c r="Q97" s="53">
        <v>0.80543655437096751</v>
      </c>
      <c r="R97" s="53">
        <v>0.19456344562903249</v>
      </c>
      <c r="S97" s="22">
        <f t="shared" si="3"/>
        <v>396634.10184397991</v>
      </c>
    </row>
    <row r="98" spans="2:19" x14ac:dyDescent="0.25">
      <c r="B98" t="str">
        <f>+VLOOKUP(D98,[2]id!L:M,2,0)</f>
        <v>Educación secundaria</v>
      </c>
      <c r="C98">
        <v>2020</v>
      </c>
      <c r="D98">
        <v>5</v>
      </c>
      <c r="E98">
        <v>6878315.245443847</v>
      </c>
      <c r="F98">
        <v>3809293.8177868989</v>
      </c>
      <c r="G98">
        <v>423417.063282541</v>
      </c>
      <c r="H98">
        <v>1031895.132288751</v>
      </c>
      <c r="I98">
        <v>2091673.5259029961</v>
      </c>
      <c r="J98">
        <v>31327.55704702681</v>
      </c>
      <c r="K98">
        <v>80856.314484675226</v>
      </c>
      <c r="L98">
        <v>0</v>
      </c>
      <c r="M98" s="22">
        <v>3385876.7545043579</v>
      </c>
      <c r="N98" s="22">
        <v>2203857.397434698</v>
      </c>
      <c r="O98" s="53">
        <v>0.88884631022541194</v>
      </c>
      <c r="P98" s="53">
        <v>0.30476452839459728</v>
      </c>
      <c r="Q98" s="53">
        <v>0.65089711091900315</v>
      </c>
      <c r="R98" s="53">
        <v>0.34910288908099679</v>
      </c>
      <c r="S98" s="22">
        <f t="shared" si="3"/>
        <v>1182019.35706966</v>
      </c>
    </row>
    <row r="99" spans="2:19" x14ac:dyDescent="0.25">
      <c r="B99" t="str">
        <f>+VLOOKUP(D99,[2]id!L:M,2,0)</f>
        <v>Educación primaria (nivel 1)</v>
      </c>
      <c r="C99">
        <v>2020</v>
      </c>
      <c r="D99">
        <v>3</v>
      </c>
      <c r="E99">
        <v>1414957.2350355019</v>
      </c>
      <c r="F99">
        <v>403601.1629843422</v>
      </c>
      <c r="G99">
        <v>35124.113495665137</v>
      </c>
      <c r="H99">
        <v>192938.19226441169</v>
      </c>
      <c r="I99">
        <v>148814.5773680913</v>
      </c>
      <c r="J99">
        <v>299.6342982892271</v>
      </c>
      <c r="K99">
        <v>3410.9946282804558</v>
      </c>
      <c r="L99">
        <v>0</v>
      </c>
      <c r="M99" s="22">
        <v>368477.04948867712</v>
      </c>
      <c r="N99" s="22">
        <v>152525.20629466101</v>
      </c>
      <c r="O99" s="53">
        <v>0.91297321039427282</v>
      </c>
      <c r="P99" s="53">
        <v>0.52360979478137215</v>
      </c>
      <c r="Q99" s="53">
        <v>0.41393407406598298</v>
      </c>
      <c r="R99" s="53">
        <v>0.58606592593401696</v>
      </c>
      <c r="S99" s="22">
        <f t="shared" si="3"/>
        <v>215951.84319401611</v>
      </c>
    </row>
    <row r="100" spans="2:19" x14ac:dyDescent="0.25">
      <c r="B100" t="str">
        <f>+VLOOKUP(D100,[2]id!L:M,2,0)</f>
        <v>Educación primaria (nivel 2)</v>
      </c>
      <c r="C100">
        <v>2020</v>
      </c>
      <c r="D100">
        <v>4</v>
      </c>
      <c r="E100">
        <v>1447902.7200420951</v>
      </c>
      <c r="F100">
        <v>686576.66625156859</v>
      </c>
      <c r="G100">
        <v>59501.441583236992</v>
      </c>
      <c r="H100">
        <v>272680.48576287279</v>
      </c>
      <c r="I100">
        <v>309962.08078661992</v>
      </c>
      <c r="J100">
        <v>1036.2076738693729</v>
      </c>
      <c r="K100">
        <v>8708.4009557962363</v>
      </c>
      <c r="L100">
        <v>0</v>
      </c>
      <c r="M100" s="22">
        <v>627075.22466833168</v>
      </c>
      <c r="N100" s="22">
        <v>319706.68941628549</v>
      </c>
      <c r="O100" s="53">
        <v>0.91333605625124015</v>
      </c>
      <c r="P100" s="53">
        <v>0.4348449357205863</v>
      </c>
      <c r="Q100" s="53">
        <v>0.50983785810607107</v>
      </c>
      <c r="R100" s="53">
        <v>0.49016214189392893</v>
      </c>
      <c r="S100" s="22">
        <f t="shared" si="3"/>
        <v>307368.53525204619</v>
      </c>
    </row>
    <row r="101" spans="2:19" x14ac:dyDescent="0.25">
      <c r="B101" t="str">
        <f>+VLOOKUP(D101,[2]id!L:M,2,0)</f>
        <v>Nunca estudió</v>
      </c>
      <c r="C101">
        <v>2020</v>
      </c>
      <c r="D101">
        <v>1</v>
      </c>
      <c r="E101">
        <v>162427.40299905339</v>
      </c>
      <c r="F101">
        <v>21975.499100785619</v>
      </c>
      <c r="G101">
        <v>2352.1865538942388</v>
      </c>
      <c r="H101">
        <v>13705.53703834839</v>
      </c>
      <c r="I101">
        <v>5375.2514197142891</v>
      </c>
      <c r="J101">
        <v>94.888668825444668</v>
      </c>
      <c r="K101">
        <v>0</v>
      </c>
      <c r="L101">
        <v>0</v>
      </c>
      <c r="M101" s="22">
        <v>19623.31254689139</v>
      </c>
      <c r="N101" s="22">
        <v>5470.1400885397334</v>
      </c>
      <c r="O101" s="53">
        <v>0.89296322494854508</v>
      </c>
      <c r="P101" s="53">
        <v>0.69843136858764177</v>
      </c>
      <c r="Q101" s="53">
        <v>0.2787572218231974</v>
      </c>
      <c r="R101" s="53">
        <v>0.7212427781768026</v>
      </c>
      <c r="S101" s="22">
        <f t="shared" si="3"/>
        <v>14153.172458351655</v>
      </c>
    </row>
    <row r="102" spans="2:19" x14ac:dyDescent="0.25">
      <c r="B102" t="str">
        <f>+VLOOKUP(D102,[2]id!L:M,2,0)</f>
        <v>Educación preescolar</v>
      </c>
      <c r="C102">
        <v>2020</v>
      </c>
      <c r="D102">
        <v>2</v>
      </c>
      <c r="E102">
        <v>2959.9877336136592</v>
      </c>
      <c r="F102">
        <v>1557.9438953700869</v>
      </c>
      <c r="G102">
        <v>0</v>
      </c>
      <c r="H102">
        <v>403.99274803676389</v>
      </c>
      <c r="I102">
        <v>1153.951147333323</v>
      </c>
      <c r="J102">
        <v>0</v>
      </c>
      <c r="K102">
        <v>0</v>
      </c>
      <c r="L102">
        <v>0</v>
      </c>
      <c r="M102" s="22">
        <v>1557.9438953700869</v>
      </c>
      <c r="N102" s="22">
        <v>1153.951147333323</v>
      </c>
      <c r="O102" s="53">
        <v>1</v>
      </c>
      <c r="P102" s="53">
        <v>0.25931148691384431</v>
      </c>
      <c r="Q102" s="53">
        <v>0.74068851308615569</v>
      </c>
      <c r="R102" s="53">
        <v>0.25931148691384431</v>
      </c>
      <c r="S102" s="22">
        <f t="shared" si="3"/>
        <v>403.99274803676394</v>
      </c>
    </row>
    <row r="103" spans="2:19" x14ac:dyDescent="0.25">
      <c r="B103" t="str">
        <f>+VLOOKUP(D103,[2]id!L:M,2,0)</f>
        <v>Post títulos y maestría</v>
      </c>
      <c r="C103">
        <v>2020</v>
      </c>
      <c r="D103">
        <v>8</v>
      </c>
      <c r="E103">
        <v>352007.58181077283</v>
      </c>
      <c r="F103">
        <v>314784.05103247188</v>
      </c>
      <c r="G103">
        <v>7630.6174898394211</v>
      </c>
      <c r="H103">
        <v>43219.011564052707</v>
      </c>
      <c r="I103">
        <v>222635.45893897471</v>
      </c>
      <c r="J103">
        <v>20960.218202326829</v>
      </c>
      <c r="K103">
        <v>21770.271271702051</v>
      </c>
      <c r="L103">
        <v>0</v>
      </c>
      <c r="M103" s="22">
        <v>307153.43354263261</v>
      </c>
      <c r="N103" s="22">
        <v>265365.94841300359</v>
      </c>
      <c r="O103" s="53">
        <v>0.97575919915633758</v>
      </c>
      <c r="P103" s="53">
        <v>0.14070821564836569</v>
      </c>
      <c r="Q103" s="53">
        <v>0.86395240760403613</v>
      </c>
      <c r="R103" s="53">
        <v>0.1360475923959639</v>
      </c>
      <c r="S103" s="22">
        <f t="shared" si="3"/>
        <v>41787.485129629029</v>
      </c>
    </row>
    <row r="104" spans="2:19" x14ac:dyDescent="0.25">
      <c r="B104" t="str">
        <f>+VLOOKUP(D104,[2]id!L:M,2,0)</f>
        <v>Nivel ignorado</v>
      </c>
      <c r="C104">
        <v>2020</v>
      </c>
      <c r="D104">
        <v>999</v>
      </c>
      <c r="E104">
        <v>162809.98395817159</v>
      </c>
      <c r="F104">
        <v>55482.903544895787</v>
      </c>
      <c r="G104">
        <v>1287.119734958244</v>
      </c>
      <c r="H104">
        <v>18177.70026034892</v>
      </c>
      <c r="I104">
        <v>31378.451119530731</v>
      </c>
      <c r="J104">
        <v>1395.7127060386681</v>
      </c>
      <c r="K104">
        <v>3062.9139748405541</v>
      </c>
      <c r="L104">
        <v>0</v>
      </c>
      <c r="M104" s="22">
        <v>54195.783809937537</v>
      </c>
      <c r="N104" s="22">
        <v>35837.077800409948</v>
      </c>
      <c r="O104" s="53">
        <v>0.97680150726220139</v>
      </c>
      <c r="P104" s="53">
        <v>0.33540801483926119</v>
      </c>
      <c r="Q104" s="53">
        <v>0.66125213588734422</v>
      </c>
      <c r="R104" s="53">
        <v>0.33874786411265578</v>
      </c>
      <c r="S104" s="22">
        <f t="shared" si="3"/>
        <v>18358.706009527588</v>
      </c>
    </row>
    <row r="105" spans="2:19" x14ac:dyDescent="0.25">
      <c r="B105" t="str">
        <f>+VLOOKUP(D105,[2]id!L:M,2,0)</f>
        <v>Doctorado</v>
      </c>
      <c r="C105">
        <v>2020</v>
      </c>
      <c r="D105">
        <v>9</v>
      </c>
      <c r="E105">
        <v>43201.117088451007</v>
      </c>
      <c r="F105">
        <v>40247.20392267673</v>
      </c>
      <c r="G105">
        <v>210.1063661744611</v>
      </c>
      <c r="H105">
        <v>7623.5220202210103</v>
      </c>
      <c r="I105">
        <v>27455.861154923408</v>
      </c>
      <c r="J105">
        <v>6537.253881064762</v>
      </c>
      <c r="K105">
        <v>2328.7249334082849</v>
      </c>
      <c r="L105">
        <v>0</v>
      </c>
      <c r="M105" s="22">
        <v>40037.097556502267</v>
      </c>
      <c r="N105" s="22">
        <v>36321.83996939646</v>
      </c>
      <c r="O105" s="53">
        <v>0.99477960340852201</v>
      </c>
      <c r="P105" s="53">
        <v>0.19041145551228661</v>
      </c>
      <c r="Q105" s="53">
        <v>0.90720462236647759</v>
      </c>
      <c r="R105" s="53">
        <v>9.2795377633522413E-2</v>
      </c>
      <c r="S105" s="22">
        <f t="shared" si="3"/>
        <v>3715.257587105807</v>
      </c>
    </row>
    <row r="106" spans="2:19" x14ac:dyDescent="0.25">
      <c r="B106" t="str">
        <f>+VLOOKUP(D106,[2]id!L:M,2,0)</f>
        <v>Educación secundaria</v>
      </c>
      <c r="C106">
        <v>2021</v>
      </c>
      <c r="D106">
        <v>5</v>
      </c>
      <c r="E106">
        <v>6901386.1921573207</v>
      </c>
      <c r="F106">
        <v>3973474.5509279231</v>
      </c>
      <c r="G106">
        <v>306138.44294695539</v>
      </c>
      <c r="H106">
        <v>1177643.348943013</v>
      </c>
      <c r="I106">
        <v>2210618.0004396639</v>
      </c>
      <c r="J106">
        <v>32518.34897299697</v>
      </c>
      <c r="K106">
        <v>84750.86158447554</v>
      </c>
      <c r="L106">
        <v>0</v>
      </c>
      <c r="M106" s="22">
        <v>3667336.107980967</v>
      </c>
      <c r="N106" s="22">
        <v>2327887.2109971368</v>
      </c>
      <c r="O106" s="53">
        <v>0.92295447245900608</v>
      </c>
      <c r="P106" s="53">
        <v>0.32111683092809251</v>
      </c>
      <c r="Q106" s="53">
        <v>0.63476243858072312</v>
      </c>
      <c r="R106" s="53">
        <v>0.36523756141927688</v>
      </c>
      <c r="S106" s="22">
        <f t="shared" si="3"/>
        <v>1339448.8969838303</v>
      </c>
    </row>
    <row r="107" spans="2:19" x14ac:dyDescent="0.25">
      <c r="B107" t="str">
        <f>+VLOOKUP(D107,[2]id!L:M,2,0)</f>
        <v>Post títulos y maestría</v>
      </c>
      <c r="C107">
        <v>2021</v>
      </c>
      <c r="D107">
        <v>8</v>
      </c>
      <c r="E107">
        <v>356242.64462550031</v>
      </c>
      <c r="F107">
        <v>327404.85602683178</v>
      </c>
      <c r="G107">
        <v>11796.054273991091</v>
      </c>
      <c r="H107">
        <v>32688.863470897479</v>
      </c>
      <c r="I107">
        <v>237727.76188944399</v>
      </c>
      <c r="J107">
        <v>21705.52915938761</v>
      </c>
      <c r="K107">
        <v>30718.633266061999</v>
      </c>
      <c r="L107">
        <v>0</v>
      </c>
      <c r="M107" s="22">
        <v>315608.80175284081</v>
      </c>
      <c r="N107" s="22">
        <v>290151.92431489361</v>
      </c>
      <c r="O107" s="53">
        <v>0.96397104668165223</v>
      </c>
      <c r="P107" s="53">
        <v>0.103573991882827</v>
      </c>
      <c r="Q107" s="53">
        <v>0.91934040718584609</v>
      </c>
      <c r="R107" s="53">
        <v>8.0659592814153913E-2</v>
      </c>
      <c r="S107" s="22">
        <f t="shared" si="3"/>
        <v>25456.877437947202</v>
      </c>
    </row>
    <row r="108" spans="2:19" x14ac:dyDescent="0.25">
      <c r="B108" t="str">
        <f>+VLOOKUP(D108,[2]id!L:M,2,0)</f>
        <v>Educación Técnica (Educación Superior no Universitaria)</v>
      </c>
      <c r="C108">
        <v>2021</v>
      </c>
      <c r="D108">
        <v>6</v>
      </c>
      <c r="E108">
        <v>1826047.783854642</v>
      </c>
      <c r="F108">
        <v>1299867.9103421459</v>
      </c>
      <c r="G108">
        <v>95746.405377004339</v>
      </c>
      <c r="H108">
        <v>235843.97559839979</v>
      </c>
      <c r="I108">
        <v>865701.54942000483</v>
      </c>
      <c r="J108">
        <v>22720.44701305675</v>
      </c>
      <c r="K108">
        <v>45973.207270288804</v>
      </c>
      <c r="L108">
        <v>160.02877557961079</v>
      </c>
      <c r="M108" s="22">
        <v>1204121.5049651421</v>
      </c>
      <c r="N108" s="22">
        <v>934555.23247893003</v>
      </c>
      <c r="O108" s="53">
        <v>0.92634143468331154</v>
      </c>
      <c r="P108" s="53">
        <v>0.19586393451649819</v>
      </c>
      <c r="Q108" s="53">
        <v>0.77613033952581412</v>
      </c>
      <c r="R108" s="53">
        <v>0.22386966047418591</v>
      </c>
      <c r="S108" s="22">
        <f t="shared" si="3"/>
        <v>269566.27248621208</v>
      </c>
    </row>
    <row r="109" spans="2:19" x14ac:dyDescent="0.25">
      <c r="B109" t="str">
        <f>+VLOOKUP(D109,[2]id!L:M,2,0)</f>
        <v>Educación primaria (nivel 1)</v>
      </c>
      <c r="C109">
        <v>2021</v>
      </c>
      <c r="D109">
        <v>3</v>
      </c>
      <c r="E109">
        <v>1474411.1552952509</v>
      </c>
      <c r="F109">
        <v>473509.71637917671</v>
      </c>
      <c r="G109">
        <v>24033.358302174009</v>
      </c>
      <c r="H109">
        <v>243928.66204451589</v>
      </c>
      <c r="I109">
        <v>166217.28151144329</v>
      </c>
      <c r="J109">
        <v>1824.6280088890239</v>
      </c>
      <c r="K109">
        <v>7666.2600406786687</v>
      </c>
      <c r="L109">
        <v>0</v>
      </c>
      <c r="M109" s="22">
        <v>449476.35807700269</v>
      </c>
      <c r="N109" s="22">
        <v>175708.16956101099</v>
      </c>
      <c r="O109" s="53">
        <v>0.94924421301013262</v>
      </c>
      <c r="P109" s="53">
        <v>0.54269520000588545</v>
      </c>
      <c r="Q109" s="53">
        <v>0.39091748966006651</v>
      </c>
      <c r="R109" s="53">
        <v>0.60908251033993355</v>
      </c>
      <c r="S109" s="22">
        <f t="shared" si="3"/>
        <v>273768.18851599167</v>
      </c>
    </row>
    <row r="110" spans="2:19" x14ac:dyDescent="0.25">
      <c r="B110" t="str">
        <f>+VLOOKUP(D110,[2]id!L:M,2,0)</f>
        <v>Educación universitaria</v>
      </c>
      <c r="C110">
        <v>2021</v>
      </c>
      <c r="D110">
        <v>7</v>
      </c>
      <c r="E110">
        <v>3539995.199069669</v>
      </c>
      <c r="F110">
        <v>2446925.334571532</v>
      </c>
      <c r="G110">
        <v>171933.43153006569</v>
      </c>
      <c r="H110">
        <v>396374.90772342659</v>
      </c>
      <c r="I110">
        <v>1628895.992192985</v>
      </c>
      <c r="J110">
        <v>106042.5182290394</v>
      </c>
      <c r="K110">
        <v>124606.11455865471</v>
      </c>
      <c r="L110">
        <v>505.24703651536419</v>
      </c>
      <c r="M110" s="22">
        <v>2274991.9030414661</v>
      </c>
      <c r="N110" s="22">
        <v>1860049.872017195</v>
      </c>
      <c r="O110" s="53">
        <v>0.92973490890756083</v>
      </c>
      <c r="P110" s="53">
        <v>0.1742313487768937</v>
      </c>
      <c r="Q110" s="53">
        <v>0.81760724929634698</v>
      </c>
      <c r="R110" s="53">
        <v>0.18239275070365299</v>
      </c>
      <c r="S110" s="22">
        <f t="shared" si="3"/>
        <v>414942.03102427116</v>
      </c>
    </row>
    <row r="111" spans="2:19" x14ac:dyDescent="0.25">
      <c r="B111" t="str">
        <f>+VLOOKUP(D111,[2]id!L:M,2,0)</f>
        <v>Educación primaria (nivel 2)</v>
      </c>
      <c r="C111">
        <v>2021</v>
      </c>
      <c r="D111">
        <v>4</v>
      </c>
      <c r="E111">
        <v>1540895.973427112</v>
      </c>
      <c r="F111">
        <v>749778.08496600157</v>
      </c>
      <c r="G111">
        <v>40107.360215737128</v>
      </c>
      <c r="H111">
        <v>327046.07294222998</v>
      </c>
      <c r="I111">
        <v>325828.99493215338</v>
      </c>
      <c r="J111">
        <v>1767.4909933308579</v>
      </c>
      <c r="K111">
        <v>14230.01636435309</v>
      </c>
      <c r="L111">
        <v>0</v>
      </c>
      <c r="M111" s="22">
        <v>709670.72475026443</v>
      </c>
      <c r="N111" s="22">
        <v>341826.50228983728</v>
      </c>
      <c r="O111" s="53">
        <v>0.9465076920492338</v>
      </c>
      <c r="P111" s="53">
        <v>0.46084199550054522</v>
      </c>
      <c r="Q111" s="53">
        <v>0.48166916059574988</v>
      </c>
      <c r="R111" s="53">
        <v>0.51833083940425007</v>
      </c>
      <c r="S111" s="22">
        <f t="shared" si="3"/>
        <v>367844.22246042715</v>
      </c>
    </row>
    <row r="112" spans="2:19" x14ac:dyDescent="0.25">
      <c r="B112" t="str">
        <f>+VLOOKUP(D112,[2]id!L:M,2,0)</f>
        <v>Nunca estudió</v>
      </c>
      <c r="C112">
        <v>2021</v>
      </c>
      <c r="D112">
        <v>1</v>
      </c>
      <c r="E112">
        <v>188721.99877156111</v>
      </c>
      <c r="F112">
        <v>22243.346011856182</v>
      </c>
      <c r="G112">
        <v>256.9535368582288</v>
      </c>
      <c r="H112">
        <v>14621.756338354169</v>
      </c>
      <c r="I112">
        <v>6363.0072579037906</v>
      </c>
      <c r="J112">
        <v>0</v>
      </c>
      <c r="K112">
        <v>0</v>
      </c>
      <c r="L112">
        <v>0</v>
      </c>
      <c r="M112" s="22">
        <v>21986.392474997949</v>
      </c>
      <c r="N112" s="22">
        <v>6363.0072579037906</v>
      </c>
      <c r="O112" s="53">
        <v>0.98844807176396632</v>
      </c>
      <c r="P112" s="53">
        <v>0.66503662913238026</v>
      </c>
      <c r="Q112" s="53">
        <v>0.28940660752506581</v>
      </c>
      <c r="R112" s="53">
        <v>0.71059339247493414</v>
      </c>
      <c r="S112" s="22">
        <f t="shared" si="3"/>
        <v>15623.385217094157</v>
      </c>
    </row>
    <row r="113" spans="2:19" x14ac:dyDescent="0.25">
      <c r="B113" t="str">
        <f>+VLOOKUP(D113,[2]id!L:M,2,0)</f>
        <v>Educación preescolar</v>
      </c>
      <c r="C113">
        <v>2021</v>
      </c>
      <c r="D113">
        <v>2</v>
      </c>
      <c r="E113">
        <v>1608.589066251476</v>
      </c>
      <c r="F113">
        <v>575.62482930301155</v>
      </c>
      <c r="G113">
        <v>0</v>
      </c>
      <c r="H113">
        <v>575.62482930301155</v>
      </c>
      <c r="I113">
        <v>0</v>
      </c>
      <c r="J113">
        <v>0</v>
      </c>
      <c r="K113">
        <v>0</v>
      </c>
      <c r="L113">
        <v>0</v>
      </c>
      <c r="M113" s="22">
        <v>575.62482930301155</v>
      </c>
      <c r="N113" s="22">
        <v>0</v>
      </c>
      <c r="O113" s="53">
        <v>1</v>
      </c>
      <c r="P113" s="53">
        <v>1</v>
      </c>
      <c r="Q113" s="53">
        <v>0</v>
      </c>
      <c r="R113" s="53">
        <v>1</v>
      </c>
      <c r="S113" s="22">
        <f t="shared" si="3"/>
        <v>575.62482930301155</v>
      </c>
    </row>
    <row r="114" spans="2:19" x14ac:dyDescent="0.25">
      <c r="B114" t="str">
        <f>+VLOOKUP(D114,[2]id!L:M,2,0)</f>
        <v>Nivel ignorado</v>
      </c>
      <c r="C114">
        <v>2021</v>
      </c>
      <c r="D114">
        <v>999</v>
      </c>
      <c r="E114">
        <v>120951.90411513729</v>
      </c>
      <c r="F114">
        <v>43587.386113928398</v>
      </c>
      <c r="G114">
        <v>755.77019963576504</v>
      </c>
      <c r="H114">
        <v>11516.4833822452</v>
      </c>
      <c r="I114">
        <v>25422.813337662381</v>
      </c>
      <c r="J114">
        <v>2058.889687265133</v>
      </c>
      <c r="K114">
        <v>4438.8439140773617</v>
      </c>
      <c r="L114">
        <v>0</v>
      </c>
      <c r="M114" s="22">
        <v>42831.615914292634</v>
      </c>
      <c r="N114" s="22">
        <v>31920.546939004871</v>
      </c>
      <c r="O114" s="53">
        <v>0.98266080471858674</v>
      </c>
      <c r="P114" s="53">
        <v>0.26887809708814242</v>
      </c>
      <c r="Q114" s="53">
        <v>0.74525665813960551</v>
      </c>
      <c r="R114" s="53">
        <v>0.25474334186039449</v>
      </c>
      <c r="S114" s="22">
        <f t="shared" si="3"/>
        <v>10911.068975287762</v>
      </c>
    </row>
    <row r="115" spans="2:19" x14ac:dyDescent="0.25">
      <c r="B115" t="str">
        <f>+VLOOKUP(D115,[2]id!L:M,2,0)</f>
        <v>Doctorado</v>
      </c>
      <c r="C115">
        <v>2021</v>
      </c>
      <c r="D115">
        <v>9</v>
      </c>
      <c r="E115">
        <v>41170.559617751293</v>
      </c>
      <c r="F115">
        <v>34907.974142546656</v>
      </c>
      <c r="G115">
        <v>572.15046562734324</v>
      </c>
      <c r="H115">
        <v>7598.7640987578807</v>
      </c>
      <c r="I115">
        <v>24123.333017737179</v>
      </c>
      <c r="J115">
        <v>5246.4411147985502</v>
      </c>
      <c r="K115">
        <v>653.15439768806152</v>
      </c>
      <c r="L115">
        <v>0</v>
      </c>
      <c r="M115" s="22">
        <v>34335.82367691931</v>
      </c>
      <c r="N115" s="22">
        <v>30022.928530223791</v>
      </c>
      <c r="O115" s="53">
        <v>0.98360974878430441</v>
      </c>
      <c r="P115" s="53">
        <v>0.2213071738210784</v>
      </c>
      <c r="Q115" s="53">
        <v>0.87439080572880912</v>
      </c>
      <c r="R115" s="53">
        <v>0.12560919427119091</v>
      </c>
      <c r="S115" s="22">
        <f t="shared" si="3"/>
        <v>4312.8951466955186</v>
      </c>
    </row>
    <row r="116" spans="2:19" x14ac:dyDescent="0.25">
      <c r="B116" t="str">
        <f>+VLOOKUP(D116,[2]id!L:M,2,0)</f>
        <v>Educación secundaria</v>
      </c>
      <c r="C116">
        <v>2022</v>
      </c>
      <c r="D116">
        <v>5</v>
      </c>
      <c r="E116">
        <v>6969026.5676794462</v>
      </c>
      <c r="F116">
        <v>4077317.6380195031</v>
      </c>
      <c r="G116">
        <v>353752.65516617493</v>
      </c>
      <c r="H116">
        <v>1172646.083982389</v>
      </c>
      <c r="I116">
        <v>2265412.558048869</v>
      </c>
      <c r="J116">
        <v>33109.493867022742</v>
      </c>
      <c r="K116">
        <v>88940.210294634962</v>
      </c>
      <c r="L116">
        <v>0</v>
      </c>
      <c r="M116" s="22">
        <v>3723564.9828533279</v>
      </c>
      <c r="N116" s="22">
        <v>2387462.262210527</v>
      </c>
      <c r="O116" s="53">
        <v>0.91323887747484767</v>
      </c>
      <c r="P116" s="53">
        <v>0.31492563964435039</v>
      </c>
      <c r="Q116" s="53">
        <v>0.6411764728706415</v>
      </c>
      <c r="R116" s="53">
        <v>0.3588235271293585</v>
      </c>
      <c r="S116" s="22">
        <f t="shared" si="3"/>
        <v>1336102.7206428009</v>
      </c>
    </row>
    <row r="117" spans="2:19" x14ac:dyDescent="0.25">
      <c r="B117" t="str">
        <f>+VLOOKUP(D117,[2]id!L:M,2,0)</f>
        <v>Educación primaria (nivel 1)</v>
      </c>
      <c r="C117">
        <v>2022</v>
      </c>
      <c r="D117">
        <v>3</v>
      </c>
      <c r="E117">
        <v>1443781.947466529</v>
      </c>
      <c r="F117">
        <v>447840.0905945446</v>
      </c>
      <c r="G117">
        <v>23261.83446045635</v>
      </c>
      <c r="H117">
        <v>232652.28736597041</v>
      </c>
      <c r="I117">
        <v>160252.39005715479</v>
      </c>
      <c r="J117">
        <v>1172.6613142743511</v>
      </c>
      <c r="K117">
        <v>3229.7830576773008</v>
      </c>
      <c r="L117">
        <v>0</v>
      </c>
      <c r="M117" s="22">
        <v>424578.25613408833</v>
      </c>
      <c r="N117" s="22">
        <v>164654.83442910641</v>
      </c>
      <c r="O117" s="53">
        <v>0.94805772205526684</v>
      </c>
      <c r="P117" s="53">
        <v>0.54796090945480558</v>
      </c>
      <c r="Q117" s="53">
        <v>0.38780797662211403</v>
      </c>
      <c r="R117" s="53">
        <v>0.61219202337788592</v>
      </c>
      <c r="S117" s="22">
        <f t="shared" si="3"/>
        <v>259923.42170498191</v>
      </c>
    </row>
    <row r="118" spans="2:19" x14ac:dyDescent="0.25">
      <c r="B118" t="str">
        <f>+VLOOKUP(D118,[2]id!L:M,2,0)</f>
        <v>Educación universitaria</v>
      </c>
      <c r="C118">
        <v>2022</v>
      </c>
      <c r="D118">
        <v>7</v>
      </c>
      <c r="E118">
        <v>3615049.8811030388</v>
      </c>
      <c r="F118">
        <v>2612231.976627246</v>
      </c>
      <c r="G118">
        <v>192018.02239609</v>
      </c>
      <c r="H118">
        <v>383253.57875615108</v>
      </c>
      <c r="I118">
        <v>1768047.415944631</v>
      </c>
      <c r="J118">
        <v>88274.156886841127</v>
      </c>
      <c r="K118">
        <v>131326.24188279349</v>
      </c>
      <c r="L118">
        <v>1054.1730425795431</v>
      </c>
      <c r="M118" s="22">
        <v>2420213.954231156</v>
      </c>
      <c r="N118" s="22">
        <v>1988701.9877568451</v>
      </c>
      <c r="O118" s="53">
        <v>0.92649273720168912</v>
      </c>
      <c r="P118" s="53">
        <v>0.15835524709959031</v>
      </c>
      <c r="Q118" s="53">
        <v>0.82170503325959388</v>
      </c>
      <c r="R118" s="53">
        <v>0.1782949667404061</v>
      </c>
      <c r="S118" s="22">
        <f t="shared" si="3"/>
        <v>431511.96647431096</v>
      </c>
    </row>
    <row r="119" spans="2:19" x14ac:dyDescent="0.25">
      <c r="B119" t="str">
        <f>+VLOOKUP(D119,[2]id!L:M,2,0)</f>
        <v>Educación Técnica (Educación Superior no Universitaria)</v>
      </c>
      <c r="C119">
        <v>2022</v>
      </c>
      <c r="D119">
        <v>6</v>
      </c>
      <c r="E119">
        <v>1817006.93973558</v>
      </c>
      <c r="F119">
        <v>1355552.248807129</v>
      </c>
      <c r="G119">
        <v>108122.01648807641</v>
      </c>
      <c r="H119">
        <v>233534.06077999901</v>
      </c>
      <c r="I119">
        <v>897412.21002022771</v>
      </c>
      <c r="J119">
        <v>32900.714690927503</v>
      </c>
      <c r="K119">
        <v>51229.780428114093</v>
      </c>
      <c r="L119">
        <v>129.35274667273609</v>
      </c>
      <c r="M119" s="22">
        <v>1247430.232319053</v>
      </c>
      <c r="N119" s="22">
        <v>981672.05788594205</v>
      </c>
      <c r="O119" s="53">
        <v>0.92023766211651181</v>
      </c>
      <c r="P119" s="53">
        <v>0.1872121219523791</v>
      </c>
      <c r="Q119" s="53">
        <v>0.78695548051689501</v>
      </c>
      <c r="R119" s="53">
        <v>0.21304451948310499</v>
      </c>
      <c r="S119" s="22">
        <f t="shared" si="3"/>
        <v>265758.17443311098</v>
      </c>
    </row>
    <row r="120" spans="2:19" x14ac:dyDescent="0.25">
      <c r="B120" t="str">
        <f>+VLOOKUP(D120,[2]id!L:M,2,0)</f>
        <v>Educación primaria (nivel 2)</v>
      </c>
      <c r="C120">
        <v>2022</v>
      </c>
      <c r="D120">
        <v>4</v>
      </c>
      <c r="E120">
        <v>1541815.2195942081</v>
      </c>
      <c r="F120">
        <v>765308.53295126441</v>
      </c>
      <c r="G120">
        <v>50792.598057414521</v>
      </c>
      <c r="H120">
        <v>332085.11595065502</v>
      </c>
      <c r="I120">
        <v>326571.68080225447</v>
      </c>
      <c r="J120">
        <v>3772.1407456783518</v>
      </c>
      <c r="K120">
        <v>10823.958536673699</v>
      </c>
      <c r="L120">
        <v>0</v>
      </c>
      <c r="M120" s="22">
        <v>714515.93489384989</v>
      </c>
      <c r="N120" s="22">
        <v>341167.78008460661</v>
      </c>
      <c r="O120" s="53">
        <v>0.93363121424826834</v>
      </c>
      <c r="P120" s="53">
        <v>0.46476936305135069</v>
      </c>
      <c r="Q120" s="53">
        <v>0.47748099576714298</v>
      </c>
      <c r="R120" s="53">
        <v>0.52251900423285702</v>
      </c>
      <c r="S120" s="22">
        <f t="shared" si="3"/>
        <v>373348.15480924328</v>
      </c>
    </row>
    <row r="121" spans="2:19" x14ac:dyDescent="0.25">
      <c r="B121" t="str">
        <f>+VLOOKUP(D121,[2]id!L:M,2,0)</f>
        <v>Nunca estudió</v>
      </c>
      <c r="C121">
        <v>2022</v>
      </c>
      <c r="D121">
        <v>1</v>
      </c>
      <c r="E121">
        <v>199004.11736943189</v>
      </c>
      <c r="F121">
        <v>36494.967926860227</v>
      </c>
      <c r="G121">
        <v>1545.8177580099</v>
      </c>
      <c r="H121">
        <v>23917.481696395149</v>
      </c>
      <c r="I121">
        <v>10155.92571132782</v>
      </c>
      <c r="J121">
        <v>0</v>
      </c>
      <c r="K121">
        <v>0</v>
      </c>
      <c r="L121">
        <v>0</v>
      </c>
      <c r="M121" s="22">
        <v>34949.150168850327</v>
      </c>
      <c r="N121" s="22">
        <v>10155.92571132782</v>
      </c>
      <c r="O121" s="53">
        <v>0.95764298899760969</v>
      </c>
      <c r="P121" s="53">
        <v>0.68435088066068195</v>
      </c>
      <c r="Q121" s="53">
        <v>0.29059149256166028</v>
      </c>
      <c r="R121" s="53">
        <v>0.70940850743833972</v>
      </c>
      <c r="S121" s="22">
        <f t="shared" si="3"/>
        <v>24793.224457522505</v>
      </c>
    </row>
    <row r="122" spans="2:19" x14ac:dyDescent="0.25">
      <c r="B122" t="str">
        <f>+VLOOKUP(D122,[2]id!L:M,2,0)</f>
        <v>Post títulos y maestría</v>
      </c>
      <c r="C122">
        <v>2022</v>
      </c>
      <c r="D122">
        <v>8</v>
      </c>
      <c r="E122">
        <v>402484.98185687582</v>
      </c>
      <c r="F122">
        <v>368626.33509567537</v>
      </c>
      <c r="G122">
        <v>11338.92705788437</v>
      </c>
      <c r="H122">
        <v>40676.944741882748</v>
      </c>
      <c r="I122">
        <v>272474.45484512899</v>
      </c>
      <c r="J122">
        <v>26045.416470330001</v>
      </c>
      <c r="K122">
        <v>32933.407658837947</v>
      </c>
      <c r="L122">
        <v>1211.8941024852511</v>
      </c>
      <c r="M122" s="22">
        <v>357287.40803779103</v>
      </c>
      <c r="N122" s="22">
        <v>332665.17307678232</v>
      </c>
      <c r="O122" s="53">
        <v>0.9692400515689108</v>
      </c>
      <c r="P122" s="53">
        <v>0.11384936559975339</v>
      </c>
      <c r="Q122" s="53">
        <v>0.93108563468208083</v>
      </c>
      <c r="R122" s="53">
        <v>6.8914365317919168E-2</v>
      </c>
      <c r="S122" s="22">
        <f t="shared" si="3"/>
        <v>24622.234961008711</v>
      </c>
    </row>
    <row r="123" spans="2:19" x14ac:dyDescent="0.25">
      <c r="B123" t="str">
        <f>+VLOOKUP(D123,[2]id!L:M,2,0)</f>
        <v>Educación preescolar</v>
      </c>
      <c r="C123">
        <v>2022</v>
      </c>
      <c r="D123">
        <v>2</v>
      </c>
      <c r="E123">
        <v>147.77116744496641</v>
      </c>
      <c r="F123">
        <v>0</v>
      </c>
      <c r="G123">
        <v>0</v>
      </c>
      <c r="H123">
        <v>0</v>
      </c>
      <c r="I123">
        <v>0</v>
      </c>
      <c r="J123">
        <v>0</v>
      </c>
      <c r="K123">
        <v>0</v>
      </c>
      <c r="L123">
        <v>0</v>
      </c>
      <c r="M123" s="22">
        <v>0</v>
      </c>
      <c r="N123" s="22">
        <v>0</v>
      </c>
      <c r="S123" s="22">
        <f t="shared" si="3"/>
        <v>0</v>
      </c>
    </row>
    <row r="124" spans="2:19" x14ac:dyDescent="0.25">
      <c r="B124" t="str">
        <f>+VLOOKUP(D124,[2]id!L:M,2,0)</f>
        <v>Doctorado</v>
      </c>
      <c r="C124">
        <v>2022</v>
      </c>
      <c r="D124">
        <v>9</v>
      </c>
      <c r="E124">
        <v>40148.922656160459</v>
      </c>
      <c r="F124">
        <v>32612.105551359538</v>
      </c>
      <c r="G124">
        <v>1540.412704109734</v>
      </c>
      <c r="H124">
        <v>2819.1962573181559</v>
      </c>
      <c r="I124">
        <v>24602.018781651459</v>
      </c>
      <c r="J124">
        <v>2819.1962573181559</v>
      </c>
      <c r="K124">
        <v>3061.4247013177901</v>
      </c>
      <c r="L124">
        <v>0</v>
      </c>
      <c r="M124" s="22">
        <v>31071.692847249811</v>
      </c>
      <c r="N124" s="22">
        <v>30482.639740287399</v>
      </c>
      <c r="O124">
        <v>0.952765616384879</v>
      </c>
      <c r="P124">
        <v>9.0731981394688854E-2</v>
      </c>
      <c r="Q124">
        <v>0.98104213021613518</v>
      </c>
      <c r="R124" s="53">
        <v>1.8957869783864819E-2</v>
      </c>
      <c r="S124" s="22">
        <f t="shared" si="3"/>
        <v>589.05310696241213</v>
      </c>
    </row>
    <row r="125" spans="2:19" x14ac:dyDescent="0.25">
      <c r="B125" t="str">
        <f>+VLOOKUP(D125,[2]id!L:M,2,0)</f>
        <v>Nivel ignorado</v>
      </c>
      <c r="C125">
        <v>2022</v>
      </c>
      <c r="D125">
        <v>999</v>
      </c>
      <c r="E125">
        <v>116418.65137141979</v>
      </c>
      <c r="F125">
        <v>45229.585159503942</v>
      </c>
      <c r="G125">
        <v>3014.7149768370441</v>
      </c>
      <c r="H125">
        <v>11596.672238398911</v>
      </c>
      <c r="I125">
        <v>26266.883542018451</v>
      </c>
      <c r="J125">
        <v>1160.7993888154581</v>
      </c>
      <c r="K125">
        <v>2397.967701151787</v>
      </c>
      <c r="L125">
        <v>0</v>
      </c>
      <c r="M125" s="22">
        <v>42214.870182666898</v>
      </c>
      <c r="N125" s="22">
        <v>29825.6506319857</v>
      </c>
      <c r="O125">
        <v>0.93334639337934389</v>
      </c>
      <c r="P125">
        <v>0.27470586047568629</v>
      </c>
      <c r="Q125">
        <v>0.70652001304108913</v>
      </c>
      <c r="R125" s="53">
        <v>0.29347998695891092</v>
      </c>
      <c r="S125" s="22">
        <f t="shared" si="3"/>
        <v>12389.219550681199</v>
      </c>
    </row>
  </sheetData>
  <pageMargins left="0.7" right="0.7" top="0.75" bottom="0.75" header="0.3" footer="0.3"/>
  <drawing r:id="rId1"/>
  <legacy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60BDF-1651-423B-B5C3-462684F28182}">
  <sheetPr>
    <tabColor rgb="FFE9617B"/>
  </sheetPr>
  <dimension ref="B2:K34"/>
  <sheetViews>
    <sheetView showGridLines="0" zoomScale="90" zoomScaleNormal="90" workbookViewId="0">
      <selection activeCell="M19" sqref="M19"/>
    </sheetView>
    <sheetView workbookViewId="1"/>
  </sheetViews>
  <sheetFormatPr baseColWidth="10" defaultColWidth="11.5703125" defaultRowHeight="15" x14ac:dyDescent="0.25"/>
  <cols>
    <col min="1" max="1" width="6.7109375" customWidth="1"/>
    <col min="2" max="2" width="11.28515625" bestFit="1" customWidth="1"/>
    <col min="4" max="4" width="8.7109375" bestFit="1" customWidth="1"/>
    <col min="5" max="5" width="10.85546875" customWidth="1"/>
    <col min="6" max="6" width="12.7109375" customWidth="1"/>
    <col min="7" max="7" width="14.7109375" customWidth="1"/>
    <col min="8" max="8" width="13.7109375" customWidth="1"/>
    <col min="10" max="10" width="12.5703125" customWidth="1"/>
    <col min="11" max="11" width="14.7109375" customWidth="1"/>
  </cols>
  <sheetData>
    <row r="2" spans="2:11" x14ac:dyDescent="0.25">
      <c r="B2" s="8" t="s">
        <v>547</v>
      </c>
    </row>
    <row r="14" spans="2:11" x14ac:dyDescent="0.25">
      <c r="D14" s="29"/>
      <c r="E14" s="186"/>
      <c r="F14" s="186"/>
      <c r="G14" s="186"/>
      <c r="H14" s="186"/>
      <c r="I14" s="186"/>
      <c r="J14" s="185"/>
      <c r="K14" s="185"/>
    </row>
    <row r="15" spans="2:11" x14ac:dyDescent="0.25">
      <c r="D15" s="29"/>
      <c r="E15" s="29"/>
      <c r="F15" s="184"/>
      <c r="G15" s="184"/>
      <c r="H15" s="184"/>
      <c r="I15" s="183"/>
      <c r="J15" s="29"/>
      <c r="K15" s="29"/>
    </row>
    <row r="16" spans="2:11" x14ac:dyDescent="0.25">
      <c r="D16" s="29"/>
      <c r="E16" s="29"/>
      <c r="F16" s="29"/>
      <c r="G16" s="29"/>
      <c r="H16" s="29"/>
      <c r="I16" s="29"/>
      <c r="J16" s="29"/>
      <c r="K16" s="29"/>
    </row>
    <row r="17" spans="2:11" x14ac:dyDescent="0.25">
      <c r="D17" s="29"/>
      <c r="E17" s="29"/>
      <c r="F17" s="29"/>
      <c r="G17" s="29"/>
      <c r="H17" s="29"/>
      <c r="I17" s="29"/>
      <c r="J17" s="29"/>
      <c r="K17" s="29"/>
    </row>
    <row r="18" spans="2:11" x14ac:dyDescent="0.25">
      <c r="D18" s="29"/>
      <c r="E18" s="29"/>
      <c r="F18" s="29"/>
      <c r="G18" s="29"/>
      <c r="H18" s="29"/>
      <c r="I18" s="29"/>
      <c r="J18" s="29"/>
      <c r="K18" s="29"/>
    </row>
    <row r="19" spans="2:11" x14ac:dyDescent="0.25">
      <c r="D19" s="29"/>
      <c r="E19" s="29"/>
      <c r="F19" s="29"/>
      <c r="G19" s="29"/>
      <c r="H19" s="29"/>
      <c r="I19" s="29"/>
      <c r="J19" s="29"/>
      <c r="K19" s="29"/>
    </row>
    <row r="20" spans="2:11" x14ac:dyDescent="0.25">
      <c r="D20" s="29"/>
      <c r="E20" s="29"/>
      <c r="F20" s="29"/>
      <c r="G20" s="29"/>
      <c r="H20" s="29"/>
      <c r="I20" s="29"/>
      <c r="J20" s="29"/>
      <c r="K20" s="29"/>
    </row>
    <row r="21" spans="2:11" x14ac:dyDescent="0.25">
      <c r="D21" s="29"/>
      <c r="E21" s="29"/>
      <c r="F21" s="29"/>
      <c r="G21" s="29"/>
      <c r="H21" s="29"/>
      <c r="I21" s="29"/>
      <c r="J21" s="29"/>
      <c r="K21" s="29"/>
    </row>
    <row r="22" spans="2:11" x14ac:dyDescent="0.25">
      <c r="B22" s="356" t="s">
        <v>548</v>
      </c>
      <c r="D22" s="29"/>
      <c r="E22" s="29"/>
      <c r="F22" s="29"/>
      <c r="G22" s="29"/>
      <c r="H22" s="29"/>
      <c r="I22" s="29"/>
      <c r="J22" s="29"/>
      <c r="K22" s="29"/>
    </row>
    <row r="23" spans="2:11" x14ac:dyDescent="0.25">
      <c r="D23" s="29"/>
      <c r="E23" s="29"/>
      <c r="F23" s="29"/>
      <c r="G23" s="29"/>
      <c r="H23" s="29"/>
      <c r="I23" s="29"/>
      <c r="J23" s="29"/>
      <c r="K23" s="29"/>
    </row>
    <row r="24" spans="2:11" ht="49.9" customHeight="1" x14ac:dyDescent="0.25">
      <c r="B24" s="27" t="s">
        <v>431</v>
      </c>
      <c r="C24" s="27" t="s">
        <v>430</v>
      </c>
      <c r="D24" s="352" t="s">
        <v>175</v>
      </c>
      <c r="E24" s="352" t="s">
        <v>429</v>
      </c>
      <c r="F24" s="352" t="s">
        <v>428</v>
      </c>
      <c r="G24" s="352" t="s">
        <v>427</v>
      </c>
      <c r="H24" s="352" t="s">
        <v>426</v>
      </c>
      <c r="I24" s="352" t="s">
        <v>425</v>
      </c>
      <c r="J24" s="352" t="s">
        <v>424</v>
      </c>
      <c r="K24" s="352" t="s">
        <v>423</v>
      </c>
    </row>
    <row r="25" spans="2:11" x14ac:dyDescent="0.25">
      <c r="B25" s="27" t="str">
        <f t="shared" ref="B25:B34" si="0">+LOWER(D25)&amp;C25</f>
        <v>oct - dic2013</v>
      </c>
      <c r="C25" s="27">
        <v>2013</v>
      </c>
      <c r="D25" s="352" t="s">
        <v>422</v>
      </c>
      <c r="E25" s="353">
        <f>+VLOOKUP(B25,'Ocupados ENE'!$A:$E,5,0)*1000</f>
        <v>8149389.0562756788</v>
      </c>
      <c r="F25" s="353">
        <f>+SUMIFS('Cot. Dependientes SP'!$H:$H,'Cot. Dependientes SP'!$A:$A,'Figura 21'!B25)/3</f>
        <v>4889282.666666667</v>
      </c>
      <c r="G25" s="353">
        <f>+SUMIFS('Cot. Independientes SP'!C:C,'Cot. Independientes SP'!A:A,'Figura 21'!B25)/3</f>
        <v>117627.33333333333</v>
      </c>
      <c r="H25" s="353">
        <v>0</v>
      </c>
      <c r="I25" s="354">
        <f t="shared" ref="I25:I34" si="1">+SUM(F25:H25)</f>
        <v>5006910</v>
      </c>
      <c r="J25" s="355">
        <f t="shared" ref="J25:J34" si="2">1-I25/E25</f>
        <v>0.38560915849952204</v>
      </c>
      <c r="K25" s="355">
        <f t="shared" ref="K25:K34" si="3">1-SUM(F25:G25)/E25</f>
        <v>0.38560915849952204</v>
      </c>
    </row>
    <row r="26" spans="2:11" x14ac:dyDescent="0.25">
      <c r="B26" s="27" t="str">
        <f t="shared" si="0"/>
        <v>oct - dic2014</v>
      </c>
      <c r="C26" s="27">
        <v>2014</v>
      </c>
      <c r="D26" s="352" t="s">
        <v>422</v>
      </c>
      <c r="E26" s="353">
        <f>+'Ocupados ENE'!E65*1000</f>
        <v>8249620.3995933188</v>
      </c>
      <c r="F26" s="353">
        <f>+SUMIFS('Cot. Dependientes SP'!$H:$H,'Cot. Dependientes SP'!$A:$A,'Figura 21'!B26)/3</f>
        <v>4966089.666666667</v>
      </c>
      <c r="G26" s="353">
        <f>+SUMIFS('Cot. Independientes SP'!C:C,'Cot. Independientes SP'!A:A,'Figura 21'!B26)/3</f>
        <v>127672</v>
      </c>
      <c r="H26" s="353">
        <v>0</v>
      </c>
      <c r="I26" s="354">
        <f t="shared" si="1"/>
        <v>5093761.666666667</v>
      </c>
      <c r="J26" s="355">
        <f t="shared" si="2"/>
        <v>0.38254593303253392</v>
      </c>
      <c r="K26" s="355">
        <f t="shared" si="3"/>
        <v>0.38254593303253392</v>
      </c>
    </row>
    <row r="27" spans="2:11" x14ac:dyDescent="0.25">
      <c r="B27" s="27" t="str">
        <f t="shared" si="0"/>
        <v>oct - dic2015</v>
      </c>
      <c r="C27" s="27">
        <v>2015</v>
      </c>
      <c r="D27" s="352" t="s">
        <v>422</v>
      </c>
      <c r="E27" s="353">
        <f>+'Ocupados ENE'!E77*1000</f>
        <v>8428469.8548728563</v>
      </c>
      <c r="F27" s="353">
        <f>+SUMIFS('Cot. Dependientes SP'!$H:$H,'Cot. Dependientes SP'!$A:$A,'Figura 21'!B27)/3</f>
        <v>5048540.333333333</v>
      </c>
      <c r="G27" s="353">
        <f>+SUMIFS('Cot. Independientes SP'!C:C,'Cot. Independientes SP'!A:A,'Figura 21'!B27)/3</f>
        <v>141435</v>
      </c>
      <c r="H27" s="353">
        <v>0</v>
      </c>
      <c r="I27" s="354">
        <f t="shared" si="1"/>
        <v>5189975.333333333</v>
      </c>
      <c r="J27" s="355">
        <f t="shared" si="2"/>
        <v>0.38423279400675703</v>
      </c>
      <c r="K27" s="355">
        <f t="shared" si="3"/>
        <v>0.38423279400675703</v>
      </c>
    </row>
    <row r="28" spans="2:11" x14ac:dyDescent="0.25">
      <c r="B28" s="27" t="str">
        <f t="shared" si="0"/>
        <v>oct - dic2016</v>
      </c>
      <c r="C28" s="27">
        <v>2016</v>
      </c>
      <c r="D28" s="352" t="s">
        <v>422</v>
      </c>
      <c r="E28" s="353">
        <f>+'Ocupados ENE'!E89*1000</f>
        <v>8500710.2151495032</v>
      </c>
      <c r="F28" s="353">
        <f>+SUMIFS('Cot. Dependientes SP'!$H:$H,'Cot. Dependientes SP'!$A:$A,'Figura 21'!B28)/3</f>
        <v>5114192</v>
      </c>
      <c r="G28" s="353">
        <f>+SUMIFS('Cot. Independientes SP'!C:C,'Cot. Independientes SP'!A:A,'Figura 21'!B28)/3</f>
        <v>141097.66666666666</v>
      </c>
      <c r="H28" s="353">
        <v>0</v>
      </c>
      <c r="I28" s="354">
        <f t="shared" si="1"/>
        <v>5255289.666666667</v>
      </c>
      <c r="J28" s="355">
        <f t="shared" si="2"/>
        <v>0.3817822824614141</v>
      </c>
      <c r="K28" s="355">
        <f t="shared" si="3"/>
        <v>0.3817822824614141</v>
      </c>
    </row>
    <row r="29" spans="2:11" x14ac:dyDescent="0.25">
      <c r="B29" s="27" t="str">
        <f t="shared" si="0"/>
        <v>oct - dic2017</v>
      </c>
      <c r="C29" s="27">
        <v>2017</v>
      </c>
      <c r="D29" s="352" t="s">
        <v>422</v>
      </c>
      <c r="E29" s="353">
        <f>+'Ocupados ENE'!E101*1000</f>
        <v>8768666.8567166943</v>
      </c>
      <c r="F29" s="353">
        <f>+SUMIFS('Cot. Dependientes SP'!$H:$H,'Cot. Dependientes SP'!$A:$A,'Figura 21'!B29)/3</f>
        <v>5244923.333333333</v>
      </c>
      <c r="G29" s="353">
        <f>+SUMIFS('Cot. Independientes SP'!C:C,'Cot. Independientes SP'!A:A,'Figura 21'!B29)/3</f>
        <v>137698.66666666666</v>
      </c>
      <c r="H29" s="353">
        <v>0</v>
      </c>
      <c r="I29" s="354">
        <f t="shared" si="1"/>
        <v>5382622</v>
      </c>
      <c r="J29" s="355">
        <f t="shared" si="2"/>
        <v>0.38615275412396632</v>
      </c>
      <c r="K29" s="355">
        <f t="shared" si="3"/>
        <v>0.38615275412396632</v>
      </c>
    </row>
    <row r="30" spans="2:11" x14ac:dyDescent="0.25">
      <c r="B30" s="27" t="str">
        <f t="shared" si="0"/>
        <v>oct - dic2018</v>
      </c>
      <c r="C30" s="27">
        <v>2018</v>
      </c>
      <c r="D30" s="352" t="s">
        <v>422</v>
      </c>
      <c r="E30" s="353">
        <f>+'Ocupados ENE'!E113*1000</f>
        <v>8914248.4603237938</v>
      </c>
      <c r="F30" s="353">
        <f>+SUMIFS('Cot. Dependientes SP'!$H:$H,'Cot. Dependientes SP'!$A:$A,'Figura 21'!B30)/3</f>
        <v>5428839.666666667</v>
      </c>
      <c r="G30" s="353">
        <f>+SUMIFS('Cot. Independientes SP'!C:C,'Cot. Independientes SP'!A:A,'Figura 21'!B30)/3</f>
        <v>130591</v>
      </c>
      <c r="H30" s="353">
        <v>0</v>
      </c>
      <c r="I30" s="354">
        <f t="shared" si="1"/>
        <v>5559430.666666667</v>
      </c>
      <c r="J30" s="355">
        <f t="shared" si="2"/>
        <v>0.37634331246083186</v>
      </c>
      <c r="K30" s="355">
        <f t="shared" si="3"/>
        <v>0.37634331246083186</v>
      </c>
    </row>
    <row r="31" spans="2:11" x14ac:dyDescent="0.25">
      <c r="B31" s="27" t="str">
        <f t="shared" si="0"/>
        <v>oct - dic2019</v>
      </c>
      <c r="C31" s="27">
        <v>2019</v>
      </c>
      <c r="D31" s="352" t="s">
        <v>422</v>
      </c>
      <c r="E31" s="353">
        <f>+'Ocupados ENE'!E125*1000</f>
        <v>9087132.3840458188</v>
      </c>
      <c r="F31" s="353">
        <f>+SUMIFS('Cot. Dependientes SP'!$H:$H,'Cot. Dependientes SP'!$A:$A,'Figura 21'!B31)/3</f>
        <v>5538285.333333333</v>
      </c>
      <c r="G31" s="353">
        <f>+SUMIFS('Cot. Independientes SP'!C:C,'Cot. Independientes SP'!A:A,'Figura 21'!B31)/3</f>
        <v>86422.333333333328</v>
      </c>
      <c r="H31" s="353">
        <f>+'Cot. Honorarios SP'!B2</f>
        <v>224220</v>
      </c>
      <c r="I31" s="354">
        <f t="shared" si="1"/>
        <v>5848927.666666666</v>
      </c>
      <c r="J31" s="355">
        <f t="shared" si="2"/>
        <v>0.35635056038849333</v>
      </c>
      <c r="K31" s="355">
        <f t="shared" si="3"/>
        <v>0.38102501108689635</v>
      </c>
    </row>
    <row r="32" spans="2:11" x14ac:dyDescent="0.25">
      <c r="B32" s="27" t="str">
        <f t="shared" si="0"/>
        <v>oct - dic2020</v>
      </c>
      <c r="C32" s="27">
        <v>2020</v>
      </c>
      <c r="D32" s="352" t="s">
        <v>422</v>
      </c>
      <c r="E32" s="353">
        <f>+'Ocupados ENE'!E137*1000</f>
        <v>8026216.6007514531</v>
      </c>
      <c r="F32" s="353">
        <f>+SUMIFS('Cot. Dependientes SP'!$H:$H,'Cot. Dependientes SP'!$A:$A,'Figura 21'!B32)/3</f>
        <v>5396925</v>
      </c>
      <c r="G32" s="353">
        <f>+SUMIFS('Cot. Independientes SP'!C:C,'Cot. Independientes SP'!A:A,'Figura 21'!B32)/3</f>
        <v>75743.666666666672</v>
      </c>
      <c r="H32" s="353">
        <f>+'Cot. Honorarios SP'!B3</f>
        <v>237366</v>
      </c>
      <c r="I32" s="354">
        <f t="shared" si="1"/>
        <v>5710034.666666667</v>
      </c>
      <c r="J32" s="355">
        <f t="shared" si="2"/>
        <v>0.2885770530872459</v>
      </c>
      <c r="K32" s="355">
        <f t="shared" si="3"/>
        <v>0.31815088741135022</v>
      </c>
    </row>
    <row r="33" spans="2:11" x14ac:dyDescent="0.25">
      <c r="B33" s="27" t="str">
        <f t="shared" si="0"/>
        <v>oct - dic2021</v>
      </c>
      <c r="C33" s="27">
        <v>2021</v>
      </c>
      <c r="D33" s="352" t="s">
        <v>422</v>
      </c>
      <c r="E33" s="353">
        <f>+'Ocupados ENE'!E149*1000</f>
        <v>8678286.8056954052</v>
      </c>
      <c r="F33" s="353">
        <f>+SUMIFS('Cot. Dependientes SP'!$H:$H,'Cot. Dependientes SP'!$A:$A,'Figura 21'!B33)/3</f>
        <v>5833089.333333333</v>
      </c>
      <c r="G33" s="353">
        <f>+SUMIFS('Cot. Independientes SP'!C:C,'Cot. Independientes SP'!A:A,'Figura 21'!B33)/3</f>
        <v>73636.666666666672</v>
      </c>
      <c r="H33" s="353">
        <f>+'Cot. Honorarios SP'!B4</f>
        <v>234032</v>
      </c>
      <c r="I33" s="354">
        <f t="shared" si="1"/>
        <v>6140758</v>
      </c>
      <c r="J33" s="355">
        <f t="shared" si="2"/>
        <v>0.29239974000744828</v>
      </c>
      <c r="K33" s="355">
        <f t="shared" si="3"/>
        <v>0.31936727464186587</v>
      </c>
    </row>
    <row r="34" spans="2:11" x14ac:dyDescent="0.25">
      <c r="B34" s="27" t="str">
        <f t="shared" si="0"/>
        <v>oct - dic2022</v>
      </c>
      <c r="C34" s="27">
        <v>2022</v>
      </c>
      <c r="D34" s="352" t="s">
        <v>422</v>
      </c>
      <c r="E34" s="353">
        <v>8965230</v>
      </c>
      <c r="F34" s="353">
        <f>+SUMIFS('Cot. Dependientes SP'!$H:$H,'Cot. Dependientes SP'!$A:$A,'Figura 21'!B34)/3</f>
        <v>5888145.333333333</v>
      </c>
      <c r="G34" s="353">
        <f>+SUMIFS('Cot. Independientes SP'!C:C,'Cot. Independientes SP'!A:A,'Figura 21'!B34)/3</f>
        <v>61936.333333333336</v>
      </c>
      <c r="H34" s="353">
        <f>+'Cot. Honorarios SP'!B5</f>
        <v>262528</v>
      </c>
      <c r="I34" s="354">
        <f t="shared" si="1"/>
        <v>6212609.666666666</v>
      </c>
      <c r="J34" s="355">
        <f t="shared" si="2"/>
        <v>0.30703287404041324</v>
      </c>
      <c r="K34" s="355">
        <f t="shared" si="3"/>
        <v>0.33631578145048524</v>
      </c>
    </row>
  </sheetData>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29CCC-1721-4A18-8DBE-AE1D550950CC}">
  <sheetPr>
    <tabColor theme="3"/>
  </sheetPr>
  <dimension ref="A1:U13"/>
  <sheetViews>
    <sheetView showGridLines="0" topLeftCell="G1" zoomScaleNormal="100" workbookViewId="0">
      <selection activeCell="E32" sqref="E32"/>
    </sheetView>
    <sheetView workbookViewId="1"/>
  </sheetViews>
  <sheetFormatPr baseColWidth="10" defaultColWidth="8.7109375" defaultRowHeight="15" x14ac:dyDescent="0.25"/>
  <cols>
    <col min="1" max="1" width="14.28515625" customWidth="1"/>
    <col min="2" max="2" width="12.28515625" bestFit="1" customWidth="1"/>
    <col min="3" max="3" width="11.42578125" bestFit="1" customWidth="1"/>
    <col min="4" max="4" width="9.7109375" bestFit="1" customWidth="1"/>
    <col min="5" max="5" width="11.42578125" bestFit="1" customWidth="1"/>
    <col min="6" max="6" width="14.7109375" customWidth="1"/>
    <col min="7" max="7" width="17.7109375" customWidth="1"/>
    <col min="8" max="8" width="19.140625" customWidth="1"/>
    <col min="9" max="9" width="15.7109375" customWidth="1"/>
    <col min="10" max="10" width="11.42578125" bestFit="1" customWidth="1"/>
    <col min="11" max="13" width="15.28515625" customWidth="1"/>
    <col min="14" max="14" width="9.85546875" customWidth="1"/>
    <col min="15" max="15" width="8.7109375" bestFit="1" customWidth="1"/>
    <col min="16" max="16" width="9.28515625" bestFit="1" customWidth="1"/>
    <col min="17" max="17" width="16.28515625" bestFit="1" customWidth="1"/>
    <col min="18" max="18" width="17" bestFit="1" customWidth="1"/>
    <col min="19" max="19" width="11.42578125" bestFit="1" customWidth="1"/>
    <col min="20" max="20" width="13.7109375" bestFit="1" customWidth="1"/>
    <col min="21" max="21" width="14.42578125" bestFit="1" customWidth="1"/>
  </cols>
  <sheetData>
    <row r="1" spans="1:21" s="180" customFormat="1" x14ac:dyDescent="0.25">
      <c r="A1" s="180" t="s">
        <v>377</v>
      </c>
      <c r="B1" s="180" t="s">
        <v>403</v>
      </c>
      <c r="C1" s="180" t="s">
        <v>402</v>
      </c>
      <c r="D1" s="180" t="s">
        <v>401</v>
      </c>
      <c r="E1" s="180" t="s">
        <v>400</v>
      </c>
      <c r="F1" s="180" t="s">
        <v>399</v>
      </c>
      <c r="G1" s="180" t="s">
        <v>398</v>
      </c>
      <c r="H1" s="180" t="s">
        <v>397</v>
      </c>
      <c r="I1" s="180" t="s">
        <v>396</v>
      </c>
      <c r="J1" s="180" t="s">
        <v>395</v>
      </c>
      <c r="K1" s="180" t="s">
        <v>394</v>
      </c>
      <c r="L1" s="180" t="s">
        <v>447</v>
      </c>
      <c r="M1" s="180" t="s">
        <v>446</v>
      </c>
      <c r="N1" s="180" t="s">
        <v>393</v>
      </c>
      <c r="O1" s="180" t="s">
        <v>392</v>
      </c>
      <c r="P1" s="180" t="s">
        <v>391</v>
      </c>
      <c r="Q1" s="180" t="s">
        <v>445</v>
      </c>
      <c r="R1" s="180" t="s">
        <v>444</v>
      </c>
      <c r="S1" s="180" t="s">
        <v>390</v>
      </c>
      <c r="T1" s="180" t="s">
        <v>443</v>
      </c>
      <c r="U1" s="180" t="s">
        <v>442</v>
      </c>
    </row>
    <row r="2" spans="1:21" x14ac:dyDescent="0.25">
      <c r="A2" t="s">
        <v>441</v>
      </c>
      <c r="B2" s="22">
        <v>13970560.001285881</v>
      </c>
      <c r="C2" s="22">
        <v>8659081.2991584186</v>
      </c>
      <c r="D2" s="22">
        <v>490069.22612084931</v>
      </c>
      <c r="E2" s="22">
        <v>0</v>
      </c>
      <c r="F2" s="22">
        <v>5064455.9217174547</v>
      </c>
      <c r="G2" s="22">
        <v>0</v>
      </c>
      <c r="H2" s="22">
        <v>302513.06617387902</v>
      </c>
      <c r="I2" s="22">
        <v>0</v>
      </c>
      <c r="J2" s="22">
        <v>8169012.0730375675</v>
      </c>
      <c r="K2" s="22">
        <v>5366968.9878913332</v>
      </c>
      <c r="L2" s="22">
        <v>5254111.9493622528</v>
      </c>
      <c r="M2" s="22">
        <v>5479826.0264204144</v>
      </c>
      <c r="N2" s="53">
        <v>0.94340401606248003</v>
      </c>
      <c r="O2" s="53">
        <v>0</v>
      </c>
      <c r="P2" s="53">
        <v>0.65699119304835063</v>
      </c>
      <c r="Q2" s="53">
        <v>0.63799969048534133</v>
      </c>
      <c r="R2" s="53">
        <v>0.67551870957917071</v>
      </c>
      <c r="S2" s="53">
        <v>0.34300880695164943</v>
      </c>
      <c r="T2" s="53">
        <f t="shared" ref="T2:T11" si="0">1-R2</f>
        <v>0.32448129042082929</v>
      </c>
      <c r="U2" s="68">
        <f t="shared" ref="U2:U11" si="1">1-Q2</f>
        <v>0.36200030951465867</v>
      </c>
    </row>
    <row r="3" spans="1:21" x14ac:dyDescent="0.25">
      <c r="A3" t="s">
        <v>440</v>
      </c>
      <c r="B3" s="22">
        <v>14158925.00000046</v>
      </c>
      <c r="C3" s="22">
        <v>8784817.4591541737</v>
      </c>
      <c r="D3" s="22">
        <v>530134.50039564958</v>
      </c>
      <c r="E3" s="22">
        <v>0</v>
      </c>
      <c r="F3" s="22">
        <v>5036778.7354674572</v>
      </c>
      <c r="G3" s="22">
        <v>0</v>
      </c>
      <c r="H3" s="22">
        <v>293148.37372878962</v>
      </c>
      <c r="I3" s="22">
        <v>0</v>
      </c>
      <c r="J3" s="22">
        <v>8254682.9587585237</v>
      </c>
      <c r="K3" s="22">
        <v>5329927.1091962466</v>
      </c>
      <c r="L3" s="22">
        <v>5227987.843065843</v>
      </c>
      <c r="M3" s="22">
        <v>5431866.3753266521</v>
      </c>
      <c r="N3" s="53">
        <v>0.93965332770310139</v>
      </c>
      <c r="O3" s="53">
        <v>0</v>
      </c>
      <c r="P3" s="53">
        <v>0.64568525960660872</v>
      </c>
      <c r="Q3" s="53">
        <v>0.62901340066206757</v>
      </c>
      <c r="R3" s="53">
        <v>0.66283796098294478</v>
      </c>
      <c r="S3" s="53">
        <v>0.35431474039339128</v>
      </c>
      <c r="T3" s="53">
        <f t="shared" si="0"/>
        <v>0.33716203901705522</v>
      </c>
      <c r="U3" s="68">
        <f t="shared" si="1"/>
        <v>0.37098659933793243</v>
      </c>
    </row>
    <row r="4" spans="1:21" x14ac:dyDescent="0.25">
      <c r="A4" t="s">
        <v>439</v>
      </c>
      <c r="B4" s="22">
        <v>14350092.002293</v>
      </c>
      <c r="C4" s="22">
        <v>8950267.6861505564</v>
      </c>
      <c r="D4" s="22">
        <v>511712.49204606027</v>
      </c>
      <c r="E4" s="22">
        <v>0</v>
      </c>
      <c r="F4" s="22">
        <v>5159966.2638179353</v>
      </c>
      <c r="G4" s="22">
        <v>0</v>
      </c>
      <c r="H4" s="22">
        <v>312493.22000844131</v>
      </c>
      <c r="I4" s="22">
        <v>0</v>
      </c>
      <c r="J4" s="22">
        <v>8438555.1941044964</v>
      </c>
      <c r="K4" s="22">
        <v>5472459.4838263756</v>
      </c>
      <c r="L4" s="22">
        <v>5365118.3320230804</v>
      </c>
      <c r="M4" s="22">
        <v>5579800.6356296726</v>
      </c>
      <c r="N4" s="53">
        <v>0.9428271298703309</v>
      </c>
      <c r="O4" s="53">
        <v>0</v>
      </c>
      <c r="P4" s="53">
        <v>0.64850668840202053</v>
      </c>
      <c r="Q4" s="53">
        <v>0.63156245582622184</v>
      </c>
      <c r="R4" s="53">
        <v>0.66662702997236101</v>
      </c>
      <c r="S4" s="53">
        <v>0.35149331159797947</v>
      </c>
      <c r="T4" s="53">
        <f t="shared" si="0"/>
        <v>0.33337297002763899</v>
      </c>
      <c r="U4" s="68">
        <f t="shared" si="1"/>
        <v>0.36843754417377816</v>
      </c>
    </row>
    <row r="5" spans="1:21" x14ac:dyDescent="0.25">
      <c r="A5" t="s">
        <v>438</v>
      </c>
      <c r="B5" s="22">
        <v>14570045.000000101</v>
      </c>
      <c r="C5" s="22">
        <v>9094656.6561932992</v>
      </c>
      <c r="D5" s="22">
        <v>549436.71111493791</v>
      </c>
      <c r="E5" s="22">
        <v>0</v>
      </c>
      <c r="F5" s="22">
        <v>5156139.1309734788</v>
      </c>
      <c r="G5" s="22">
        <v>0</v>
      </c>
      <c r="H5" s="22">
        <v>327747.47618854739</v>
      </c>
      <c r="I5" s="22">
        <v>0</v>
      </c>
      <c r="J5" s="22">
        <v>8545219.9450783618</v>
      </c>
      <c r="K5" s="22">
        <v>5483886.6071620267</v>
      </c>
      <c r="L5" s="22">
        <v>5370291.2493472937</v>
      </c>
      <c r="M5" s="22">
        <v>5597481.9649767578</v>
      </c>
      <c r="N5" s="53">
        <v>0.93958686601535635</v>
      </c>
      <c r="O5" s="53">
        <v>0</v>
      </c>
      <c r="P5" s="53">
        <v>0.64174902956365487</v>
      </c>
      <c r="Q5" s="53">
        <v>0.62280518461692291</v>
      </c>
      <c r="R5" s="53">
        <v>0.66008092189028589</v>
      </c>
      <c r="S5" s="53">
        <v>0.35825097043634507</v>
      </c>
      <c r="T5" s="53">
        <f t="shared" si="0"/>
        <v>0.33991907810971411</v>
      </c>
      <c r="U5" s="68">
        <f t="shared" si="1"/>
        <v>0.37719481538307709</v>
      </c>
    </row>
    <row r="6" spans="1:21" x14ac:dyDescent="0.25">
      <c r="A6" t="s">
        <v>437</v>
      </c>
      <c r="B6" s="22">
        <v>14851798.00006118</v>
      </c>
      <c r="C6" s="22">
        <v>9400302.5300054718</v>
      </c>
      <c r="D6" s="22">
        <v>611646.78912147437</v>
      </c>
      <c r="E6" s="22">
        <v>2517765.0828161011</v>
      </c>
      <c r="F6" s="22">
        <v>5223125.4583389144</v>
      </c>
      <c r="G6" s="22">
        <v>0</v>
      </c>
      <c r="H6" s="22">
        <v>364188.73916201439</v>
      </c>
      <c r="I6" s="22">
        <v>1751.6961513873291</v>
      </c>
      <c r="J6" s="22">
        <v>8788655.7408839967</v>
      </c>
      <c r="K6" s="22">
        <v>5589065.8936523153</v>
      </c>
      <c r="L6" s="22">
        <v>5475218.3846668731</v>
      </c>
      <c r="M6" s="22">
        <v>5702913.4026377574</v>
      </c>
      <c r="N6" s="53">
        <v>0.93493328675655729</v>
      </c>
      <c r="O6" s="53">
        <v>0.2864789743787205</v>
      </c>
      <c r="P6" s="53">
        <v>0.63594092867382535</v>
      </c>
      <c r="Q6" s="53">
        <v>0.61730655828804692</v>
      </c>
      <c r="R6" s="53">
        <v>0.6548140422978056</v>
      </c>
      <c r="S6" s="53">
        <v>0.36405907132617471</v>
      </c>
      <c r="T6" s="53">
        <f t="shared" si="0"/>
        <v>0.3451859577021944</v>
      </c>
      <c r="U6" s="68">
        <f t="shared" si="1"/>
        <v>0.38269344171195308</v>
      </c>
    </row>
    <row r="7" spans="1:21" x14ac:dyDescent="0.25">
      <c r="A7" t="s">
        <v>436</v>
      </c>
      <c r="B7" s="22">
        <v>15182093.000000071</v>
      </c>
      <c r="C7" s="22">
        <v>9634320.4387104418</v>
      </c>
      <c r="D7" s="22">
        <v>678820.99608842819</v>
      </c>
      <c r="E7" s="22">
        <v>2549610.4071057918</v>
      </c>
      <c r="F7" s="22">
        <v>5400976.7966149319</v>
      </c>
      <c r="G7" s="22">
        <v>0</v>
      </c>
      <c r="H7" s="22">
        <v>377338.80297011859</v>
      </c>
      <c r="I7" s="22">
        <v>1331.758290754465</v>
      </c>
      <c r="J7" s="22">
        <v>8955499.4426220134</v>
      </c>
      <c r="K7" s="22">
        <v>5779647.3578758053</v>
      </c>
      <c r="L7" s="22">
        <v>5660070.990978254</v>
      </c>
      <c r="M7" s="22">
        <v>5899223.7247733548</v>
      </c>
      <c r="N7" s="53">
        <v>0.92954137238772505</v>
      </c>
      <c r="O7" s="53">
        <v>0.28469773499972562</v>
      </c>
      <c r="P7" s="53">
        <v>0.64537409609660201</v>
      </c>
      <c r="Q7" s="53">
        <v>0.62728465893376983</v>
      </c>
      <c r="R7" s="53">
        <v>0.66545177371228292</v>
      </c>
      <c r="S7" s="53">
        <v>0.35462590390339799</v>
      </c>
      <c r="T7" s="53">
        <f t="shared" si="0"/>
        <v>0.33454822628771708</v>
      </c>
      <c r="U7" s="68">
        <f t="shared" si="1"/>
        <v>0.37271534106623017</v>
      </c>
    </row>
    <row r="8" spans="1:21" x14ac:dyDescent="0.25">
      <c r="A8" t="s">
        <v>435</v>
      </c>
      <c r="B8" s="22">
        <v>15515853.0197898</v>
      </c>
      <c r="C8" s="22">
        <v>9808370.9407537803</v>
      </c>
      <c r="D8" s="22">
        <v>668326.77891817514</v>
      </c>
      <c r="E8" s="22">
        <v>2580723.850519727</v>
      </c>
      <c r="F8" s="22">
        <v>5541090.5369144818</v>
      </c>
      <c r="G8" s="22">
        <v>219305.923121514</v>
      </c>
      <c r="H8" s="22">
        <v>340011.10901801259</v>
      </c>
      <c r="I8" s="22">
        <v>2683.0840130705219</v>
      </c>
      <c r="J8" s="22">
        <v>9140044.1618356053</v>
      </c>
      <c r="K8" s="22">
        <v>6103090.6530670794</v>
      </c>
      <c r="L8" s="22">
        <v>5966805.8183760503</v>
      </c>
      <c r="M8" s="22">
        <v>6239375.4877581084</v>
      </c>
      <c r="N8" s="53">
        <v>0.93186159220984621</v>
      </c>
      <c r="O8" s="53">
        <v>0.28235354280842312</v>
      </c>
      <c r="P8" s="53">
        <v>0.66773098083602578</v>
      </c>
      <c r="Q8" s="53">
        <v>0.64680624616811344</v>
      </c>
      <c r="R8" s="53">
        <v>0.68999322796306495</v>
      </c>
      <c r="S8" s="53">
        <v>0.33226901916397422</v>
      </c>
      <c r="T8" s="53">
        <f t="shared" si="0"/>
        <v>0.31000677203693505</v>
      </c>
      <c r="U8" s="68">
        <f t="shared" si="1"/>
        <v>0.35319375383188656</v>
      </c>
    </row>
    <row r="9" spans="1:21" x14ac:dyDescent="0.25">
      <c r="A9" t="s">
        <v>434</v>
      </c>
      <c r="B9" s="22">
        <v>15799928.00001136</v>
      </c>
      <c r="C9" s="22">
        <v>8955655.3703940418</v>
      </c>
      <c r="D9" s="22">
        <v>894958.85628868197</v>
      </c>
      <c r="E9" s="22">
        <v>2149980.0266493279</v>
      </c>
      <c r="F9" s="22">
        <v>5187035.0729721049</v>
      </c>
      <c r="G9" s="22">
        <v>175316.10233961511</v>
      </c>
      <c r="H9" s="22">
        <v>244711.92358193171</v>
      </c>
      <c r="I9" s="22">
        <v>1440.9384401818299</v>
      </c>
      <c r="J9" s="22">
        <v>8060696.51410536</v>
      </c>
      <c r="K9" s="22">
        <v>5608504.037333834</v>
      </c>
      <c r="L9" s="22">
        <v>5478318.1046224926</v>
      </c>
      <c r="M9" s="22">
        <v>5738689.9700451754</v>
      </c>
      <c r="N9" s="53">
        <v>0.90006774275311308</v>
      </c>
      <c r="O9" s="53">
        <v>0.26672385232307061</v>
      </c>
      <c r="P9" s="53">
        <v>0.6957840463934537</v>
      </c>
      <c r="Q9" s="53">
        <v>0.67448732968742631</v>
      </c>
      <c r="R9" s="53">
        <v>0.71879109923580364</v>
      </c>
      <c r="S9" s="53">
        <v>0.3042159536065463</v>
      </c>
      <c r="T9" s="53">
        <f t="shared" si="0"/>
        <v>0.28120890076419636</v>
      </c>
      <c r="U9" s="68">
        <f t="shared" si="1"/>
        <v>0.32551267031257369</v>
      </c>
    </row>
    <row r="10" spans="1:21" x14ac:dyDescent="0.25">
      <c r="A10" t="s">
        <v>433</v>
      </c>
      <c r="B10" s="22">
        <v>15991432.000000199</v>
      </c>
      <c r="C10" s="22">
        <v>9372274.7843112443</v>
      </c>
      <c r="D10" s="22">
        <v>651339.92684804904</v>
      </c>
      <c r="E10" s="22">
        <v>2447838.459371143</v>
      </c>
      <c r="F10" s="22">
        <v>5490898.7339989981</v>
      </c>
      <c r="G10" s="22">
        <v>193884.29317876429</v>
      </c>
      <c r="H10" s="22">
        <v>313037.09139627829</v>
      </c>
      <c r="I10" s="22">
        <v>665.27581209497509</v>
      </c>
      <c r="J10" s="22">
        <v>8720934.8574631959</v>
      </c>
      <c r="K10" s="22">
        <v>5998485.394386136</v>
      </c>
      <c r="L10" s="22">
        <v>5889052.9393272521</v>
      </c>
      <c r="M10" s="22">
        <v>6107917.8494450198</v>
      </c>
      <c r="N10" s="53">
        <v>0.93050353923272056</v>
      </c>
      <c r="O10" s="53">
        <v>0.280685327820828</v>
      </c>
      <c r="P10" s="53">
        <v>0.6878259604533975</v>
      </c>
      <c r="Q10" s="53">
        <v>0.67106986681184755</v>
      </c>
      <c r="R10" s="53">
        <v>0.7045252385213937</v>
      </c>
      <c r="S10" s="53">
        <v>0.3121740395466025</v>
      </c>
      <c r="T10" s="53">
        <f t="shared" si="0"/>
        <v>0.2954747614786063</v>
      </c>
      <c r="U10" s="68">
        <f t="shared" si="1"/>
        <v>0.32893013318815245</v>
      </c>
    </row>
    <row r="11" spans="1:21" x14ac:dyDescent="0.25">
      <c r="A11" t="s">
        <v>432</v>
      </c>
      <c r="B11" s="22">
        <v>16144885.00000014</v>
      </c>
      <c r="C11" s="22">
        <v>9741213.4807330854</v>
      </c>
      <c r="D11" s="22">
        <v>745386.99906505318</v>
      </c>
      <c r="E11" s="22">
        <v>2433181.4217691589</v>
      </c>
      <c r="F11" s="22">
        <v>5751195.5377532626</v>
      </c>
      <c r="G11" s="22">
        <v>189254.5796212077</v>
      </c>
      <c r="H11" s="22">
        <v>323942.77426120109</v>
      </c>
      <c r="I11" s="22">
        <v>2395.4198917375311</v>
      </c>
      <c r="J11" s="22">
        <v>8995826.4816680327</v>
      </c>
      <c r="K11" s="22">
        <v>6266788.3115274096</v>
      </c>
      <c r="L11" s="22">
        <v>6153392.4141474376</v>
      </c>
      <c r="M11" s="22">
        <v>6380184.2089073826</v>
      </c>
      <c r="N11" s="53">
        <v>0.92348109395822853</v>
      </c>
      <c r="O11" s="53">
        <v>0.27047891894397591</v>
      </c>
      <c r="P11" s="53">
        <v>0.69663285794785623</v>
      </c>
      <c r="Q11" s="53">
        <v>0.6791907411247976</v>
      </c>
      <c r="R11" s="53">
        <v>0.71437419141974634</v>
      </c>
      <c r="S11" s="53">
        <v>0.30336714205214382</v>
      </c>
      <c r="T11" s="53">
        <f t="shared" si="0"/>
        <v>0.28562580858025366</v>
      </c>
      <c r="U11" s="68">
        <f t="shared" si="1"/>
        <v>0.3208092588752024</v>
      </c>
    </row>
    <row r="12" spans="1:21" x14ac:dyDescent="0.25">
      <c r="N12" s="187"/>
    </row>
    <row r="13" spans="1:21" x14ac:dyDescent="0.25">
      <c r="R13" s="187"/>
    </row>
  </sheetData>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A9C8A-F884-4AD6-BFE1-DA6116C70E8B}">
  <dimension ref="A1:AB286"/>
  <sheetViews>
    <sheetView topLeftCell="B1" workbookViewId="0">
      <selection sqref="A1:A1048576"/>
    </sheetView>
    <sheetView topLeftCell="B1" workbookViewId="1"/>
  </sheetViews>
  <sheetFormatPr baseColWidth="10" defaultColWidth="11.42578125" defaultRowHeight="15" x14ac:dyDescent="0.25"/>
  <cols>
    <col min="1" max="1" width="0" style="6" hidden="1" customWidth="1"/>
    <col min="2" max="2" width="7.7109375" style="6" customWidth="1"/>
    <col min="3" max="3" width="9.7109375" style="6" customWidth="1"/>
    <col min="4" max="4" width="5.7109375" style="6" customWidth="1"/>
    <col min="5" max="5" width="10.7109375" style="6" customWidth="1"/>
    <col min="6" max="6" width="5.7109375" style="6" customWidth="1"/>
    <col min="7" max="7" width="10.7109375" style="6" customWidth="1"/>
    <col min="8" max="8" width="5.7109375" style="6" customWidth="1"/>
    <col min="9" max="9" width="10.7109375" style="6" customWidth="1"/>
    <col min="10" max="10" width="5.7109375" style="6" customWidth="1"/>
    <col min="11" max="11" width="10.7109375" style="6" customWidth="1"/>
    <col min="12" max="12" width="5.7109375" style="6" customWidth="1"/>
    <col min="13" max="13" width="10.7109375" style="6" customWidth="1"/>
    <col min="14" max="14" width="5.7109375" style="6" customWidth="1"/>
    <col min="15" max="15" width="10.7109375" style="6" customWidth="1"/>
    <col min="16" max="16" width="5.7109375" style="6" customWidth="1"/>
    <col min="17" max="17" width="10.7109375" style="6" customWidth="1"/>
    <col min="18" max="18" width="5.7109375" style="6" customWidth="1"/>
    <col min="19" max="19" width="10.7109375" style="6" customWidth="1"/>
    <col min="20" max="20" width="5.7109375" style="6" customWidth="1"/>
    <col min="21" max="21" width="10.7109375" style="6" customWidth="1"/>
    <col min="22" max="22" width="5.7109375" style="6" customWidth="1"/>
    <col min="23" max="23" width="10.7109375" style="6" customWidth="1"/>
    <col min="24" max="24" width="5.7109375" style="6" customWidth="1"/>
    <col min="25" max="25" width="10.7109375" style="6" customWidth="1"/>
    <col min="26" max="26" width="5.7109375" style="6" customWidth="1"/>
    <col min="27" max="27" width="10.7109375" style="6" customWidth="1"/>
    <col min="28" max="16384" width="11.42578125" style="6"/>
  </cols>
  <sheetData>
    <row r="1" spans="1:27" x14ac:dyDescent="0.25">
      <c r="B1" s="207" t="s">
        <v>467</v>
      </c>
      <c r="C1" s="203"/>
      <c r="D1" s="203"/>
      <c r="E1" s="203"/>
      <c r="F1" s="203"/>
      <c r="G1" s="203"/>
      <c r="H1" s="203"/>
      <c r="I1" s="203"/>
      <c r="J1" s="203"/>
      <c r="K1" s="203"/>
      <c r="L1" s="203"/>
      <c r="M1" s="203"/>
      <c r="N1" s="203"/>
      <c r="O1" s="203"/>
      <c r="P1" s="203"/>
      <c r="Q1" s="203"/>
      <c r="R1" s="203"/>
      <c r="S1" s="203"/>
      <c r="T1" s="203"/>
    </row>
    <row r="2" spans="1:27" x14ac:dyDescent="0.25">
      <c r="B2" s="206" t="s">
        <v>178</v>
      </c>
      <c r="C2" s="203"/>
      <c r="D2" s="203"/>
      <c r="E2" s="203"/>
      <c r="F2" s="203"/>
      <c r="G2" s="203"/>
      <c r="H2" s="203"/>
      <c r="I2" s="203"/>
      <c r="J2" s="203"/>
      <c r="K2" s="203"/>
      <c r="L2" s="203"/>
      <c r="M2" s="203"/>
      <c r="N2" s="203"/>
      <c r="O2" s="203"/>
      <c r="P2" s="203"/>
      <c r="Q2" s="203"/>
      <c r="R2" s="203"/>
      <c r="S2" s="203"/>
      <c r="T2" s="203"/>
    </row>
    <row r="3" spans="1:27" x14ac:dyDescent="0.25">
      <c r="B3" s="205" t="s">
        <v>190</v>
      </c>
      <c r="C3" s="203"/>
      <c r="D3" s="203"/>
      <c r="E3" s="203"/>
      <c r="F3" s="203"/>
      <c r="G3" s="203"/>
      <c r="H3" s="203"/>
      <c r="I3" s="203"/>
      <c r="J3" s="203"/>
      <c r="K3" s="203"/>
      <c r="L3" s="203"/>
      <c r="M3" s="203"/>
      <c r="N3" s="203"/>
      <c r="O3" s="203"/>
      <c r="P3" s="203"/>
      <c r="Q3" s="203"/>
      <c r="R3" s="203"/>
      <c r="S3" s="203"/>
      <c r="T3" s="203"/>
    </row>
    <row r="4" spans="1:27" x14ac:dyDescent="0.25">
      <c r="B4" s="204"/>
      <c r="C4" s="204"/>
      <c r="D4" s="204"/>
      <c r="E4" s="204"/>
      <c r="F4" s="204"/>
      <c r="G4" s="204"/>
      <c r="H4" s="204"/>
      <c r="I4" s="204"/>
      <c r="J4" s="204"/>
      <c r="K4" s="204"/>
      <c r="L4" s="204"/>
      <c r="M4" s="204"/>
      <c r="N4" s="204"/>
      <c r="O4" s="204"/>
      <c r="P4" s="204"/>
      <c r="Q4" s="204"/>
      <c r="R4" s="204"/>
      <c r="S4" s="204"/>
      <c r="T4" s="204"/>
    </row>
    <row r="5" spans="1:27" x14ac:dyDescent="0.25">
      <c r="B5" s="203"/>
      <c r="C5" s="203"/>
      <c r="D5" s="203"/>
      <c r="E5" s="203"/>
      <c r="F5" s="203"/>
      <c r="G5" s="203"/>
      <c r="H5" s="203"/>
      <c r="I5" s="203"/>
      <c r="J5" s="203"/>
      <c r="K5" s="203"/>
      <c r="L5" s="203"/>
      <c r="M5" s="203"/>
      <c r="N5" s="203"/>
      <c r="O5" s="203"/>
      <c r="P5" s="203"/>
      <c r="Q5" s="203"/>
      <c r="R5" s="203"/>
      <c r="S5" s="203"/>
      <c r="T5" s="203"/>
      <c r="U5" s="188"/>
    </row>
    <row r="6" spans="1:27" ht="63.75" customHeight="1" x14ac:dyDescent="0.25">
      <c r="B6" s="202" t="s">
        <v>6</v>
      </c>
      <c r="C6" s="201" t="s">
        <v>176</v>
      </c>
      <c r="D6" s="635" t="s">
        <v>466</v>
      </c>
      <c r="E6" s="635"/>
      <c r="F6" s="635" t="s">
        <v>465</v>
      </c>
      <c r="G6" s="635"/>
      <c r="H6" s="635" t="s">
        <v>464</v>
      </c>
      <c r="I6" s="635"/>
      <c r="J6" s="635" t="s">
        <v>463</v>
      </c>
      <c r="K6" s="635"/>
      <c r="L6" s="635" t="s">
        <v>462</v>
      </c>
      <c r="M6" s="635"/>
      <c r="N6" s="635" t="s">
        <v>461</v>
      </c>
      <c r="O6" s="635"/>
      <c r="P6" s="635" t="s">
        <v>460</v>
      </c>
      <c r="Q6" s="635"/>
      <c r="R6" s="635" t="s">
        <v>459</v>
      </c>
      <c r="S6" s="635"/>
      <c r="T6" s="635" t="s">
        <v>458</v>
      </c>
      <c r="U6" s="635"/>
      <c r="V6" s="635" t="s">
        <v>457</v>
      </c>
      <c r="W6" s="635"/>
      <c r="X6" s="635" t="s">
        <v>456</v>
      </c>
      <c r="Y6" s="635"/>
      <c r="Z6" s="635" t="s">
        <v>455</v>
      </c>
      <c r="AA6" s="635"/>
    </row>
    <row r="7" spans="1:27" x14ac:dyDescent="0.25">
      <c r="A7" s="6" t="s">
        <v>454</v>
      </c>
      <c r="B7" s="115"/>
      <c r="C7" s="115"/>
      <c r="D7" s="200" t="s">
        <v>453</v>
      </c>
      <c r="E7" s="200" t="s">
        <v>206</v>
      </c>
      <c r="F7" s="200" t="s">
        <v>453</v>
      </c>
      <c r="G7" s="200" t="s">
        <v>206</v>
      </c>
      <c r="H7" s="200" t="s">
        <v>453</v>
      </c>
      <c r="I7" s="200" t="s">
        <v>206</v>
      </c>
      <c r="J7" s="200" t="s">
        <v>453</v>
      </c>
      <c r="K7" s="200" t="s">
        <v>206</v>
      </c>
      <c r="L7" s="200" t="s">
        <v>453</v>
      </c>
      <c r="M7" s="200" t="s">
        <v>206</v>
      </c>
      <c r="N7" s="200" t="s">
        <v>453</v>
      </c>
      <c r="O7" s="200" t="s">
        <v>206</v>
      </c>
      <c r="P7" s="200" t="s">
        <v>453</v>
      </c>
      <c r="Q7" s="200" t="s">
        <v>206</v>
      </c>
      <c r="R7" s="200" t="s">
        <v>453</v>
      </c>
      <c r="S7" s="200" t="s">
        <v>206</v>
      </c>
      <c r="T7" s="200" t="s">
        <v>453</v>
      </c>
      <c r="U7" s="200" t="s">
        <v>206</v>
      </c>
      <c r="V7" s="200" t="s">
        <v>453</v>
      </c>
      <c r="W7" s="200" t="s">
        <v>206</v>
      </c>
      <c r="X7" s="200" t="s">
        <v>453</v>
      </c>
      <c r="Y7" s="200" t="s">
        <v>206</v>
      </c>
      <c r="Z7" s="200" t="s">
        <v>453</v>
      </c>
      <c r="AA7" s="200" t="s">
        <v>206</v>
      </c>
    </row>
    <row r="8" spans="1:27" x14ac:dyDescent="0.25">
      <c r="A8" s="6" t="str">
        <f t="shared" ref="A8:A39" si="0">+LOWER(C8)&amp;B8</f>
        <v>ene - mar2010</v>
      </c>
      <c r="B8" s="198">
        <v>2010</v>
      </c>
      <c r="C8" s="197" t="s">
        <v>162</v>
      </c>
      <c r="D8" s="196"/>
      <c r="E8" s="196">
        <v>7156.2115762159719</v>
      </c>
      <c r="F8" s="196"/>
      <c r="G8" s="196">
        <v>1689.0711204913111</v>
      </c>
      <c r="H8" s="196"/>
      <c r="I8" s="196">
        <v>318.31830350351106</v>
      </c>
      <c r="J8" s="196"/>
      <c r="K8" s="196">
        <v>1289.6761495296209</v>
      </c>
      <c r="L8" s="191"/>
      <c r="M8" s="196">
        <v>81.076667458179116</v>
      </c>
      <c r="N8" s="196"/>
      <c r="O8" s="196">
        <v>5467.1404557246606</v>
      </c>
      <c r="P8" s="196"/>
      <c r="Q8" s="196">
        <v>5141.7589238694427</v>
      </c>
      <c r="R8" s="196"/>
      <c r="S8" s="196">
        <v>4362.3497267013763</v>
      </c>
      <c r="T8" s="196"/>
      <c r="U8" s="196">
        <v>779.40919716806775</v>
      </c>
      <c r="V8" s="196"/>
      <c r="W8" s="196">
        <v>325.38153185521719</v>
      </c>
      <c r="X8" s="196"/>
      <c r="Y8" s="196">
        <v>255.83890525014459</v>
      </c>
      <c r="Z8" s="196"/>
      <c r="AA8" s="196">
        <v>69.542626605072599</v>
      </c>
    </row>
    <row r="9" spans="1:27" x14ac:dyDescent="0.25">
      <c r="A9" s="6" t="str">
        <f t="shared" si="0"/>
        <v>feb - abr2010</v>
      </c>
      <c r="B9" s="198">
        <v>2010</v>
      </c>
      <c r="C9" s="197" t="s">
        <v>173</v>
      </c>
      <c r="D9" s="196"/>
      <c r="E9" s="196">
        <v>7198.7773872589705</v>
      </c>
      <c r="F9" s="196"/>
      <c r="G9" s="196">
        <v>1752.6706277073163</v>
      </c>
      <c r="H9" s="196"/>
      <c r="I9" s="196">
        <v>324.94366049606441</v>
      </c>
      <c r="J9" s="196"/>
      <c r="K9" s="196">
        <v>1332.334423595117</v>
      </c>
      <c r="L9" s="191"/>
      <c r="M9" s="196">
        <v>95.392543616134887</v>
      </c>
      <c r="N9" s="196"/>
      <c r="O9" s="196">
        <v>5446.1067595516533</v>
      </c>
      <c r="P9" s="196"/>
      <c r="Q9" s="196">
        <v>5114.7983199188311</v>
      </c>
      <c r="R9" s="196"/>
      <c r="S9" s="196">
        <v>4343.1252613234055</v>
      </c>
      <c r="T9" s="196"/>
      <c r="U9" s="196">
        <v>771.67305859542535</v>
      </c>
      <c r="V9" s="196"/>
      <c r="W9" s="196">
        <v>331.30843963282337</v>
      </c>
      <c r="X9" s="196"/>
      <c r="Y9" s="196">
        <v>261.42358152732908</v>
      </c>
      <c r="Z9" s="196"/>
      <c r="AA9" s="196">
        <v>69.884858105494231</v>
      </c>
    </row>
    <row r="10" spans="1:27" x14ac:dyDescent="0.25">
      <c r="A10" s="6" t="str">
        <f t="shared" si="0"/>
        <v>mar - may2010</v>
      </c>
      <c r="B10" s="198">
        <v>2010</v>
      </c>
      <c r="C10" s="197" t="s">
        <v>172</v>
      </c>
      <c r="D10" s="196"/>
      <c r="E10" s="196">
        <v>7181.9028876036773</v>
      </c>
      <c r="F10" s="196"/>
      <c r="G10" s="196">
        <v>1772.6958058785644</v>
      </c>
      <c r="H10" s="196"/>
      <c r="I10" s="196">
        <v>326.94679250743928</v>
      </c>
      <c r="J10" s="196"/>
      <c r="K10" s="196">
        <v>1346.5386372053167</v>
      </c>
      <c r="L10" s="191"/>
      <c r="M10" s="196">
        <v>99.210376165808569</v>
      </c>
      <c r="N10" s="196"/>
      <c r="O10" s="196">
        <v>5409.2070817251133</v>
      </c>
      <c r="P10" s="196"/>
      <c r="Q10" s="196">
        <v>5080.6475361640805</v>
      </c>
      <c r="R10" s="196"/>
      <c r="S10" s="196">
        <v>4282.8343407139091</v>
      </c>
      <c r="T10" s="196"/>
      <c r="U10" s="196">
        <v>797.81319545017209</v>
      </c>
      <c r="V10" s="196"/>
      <c r="W10" s="196">
        <v>328.559545561032</v>
      </c>
      <c r="X10" s="196"/>
      <c r="Y10" s="196">
        <v>259.63690927928701</v>
      </c>
      <c r="Z10" s="196"/>
      <c r="AA10" s="196">
        <v>68.922636281745014</v>
      </c>
    </row>
    <row r="11" spans="1:27" x14ac:dyDescent="0.25">
      <c r="A11" s="6" t="str">
        <f t="shared" si="0"/>
        <v>abr - jun2010</v>
      </c>
      <c r="B11" s="198">
        <v>2010</v>
      </c>
      <c r="C11" s="197" t="s">
        <v>171</v>
      </c>
      <c r="D11" s="196"/>
      <c r="E11" s="196">
        <v>7221.5754991687563</v>
      </c>
      <c r="F11" s="196"/>
      <c r="G11" s="196">
        <v>1819.9803535771362</v>
      </c>
      <c r="H11" s="196"/>
      <c r="I11" s="196">
        <v>328.02597482311404</v>
      </c>
      <c r="J11" s="196"/>
      <c r="K11" s="196">
        <v>1384.2786512700648</v>
      </c>
      <c r="L11" s="191"/>
      <c r="M11" s="196">
        <v>107.67572748395719</v>
      </c>
      <c r="N11" s="196"/>
      <c r="O11" s="196">
        <v>5401.5951455916211</v>
      </c>
      <c r="P11" s="196"/>
      <c r="Q11" s="196">
        <v>5073.9979170087599</v>
      </c>
      <c r="R11" s="196"/>
      <c r="S11" s="196">
        <v>4256.2062958255246</v>
      </c>
      <c r="T11" s="196"/>
      <c r="U11" s="196">
        <v>817.79162118323575</v>
      </c>
      <c r="V11" s="196"/>
      <c r="W11" s="196">
        <v>327.59722858286068</v>
      </c>
      <c r="X11" s="196"/>
      <c r="Y11" s="196">
        <v>263.18115909347625</v>
      </c>
      <c r="Z11" s="196"/>
      <c r="AA11" s="196">
        <v>64.416069489384441</v>
      </c>
    </row>
    <row r="12" spans="1:27" x14ac:dyDescent="0.25">
      <c r="A12" s="6" t="str">
        <f t="shared" si="0"/>
        <v>may - jul2010</v>
      </c>
      <c r="B12" s="198">
        <v>2010</v>
      </c>
      <c r="C12" s="197" t="s">
        <v>170</v>
      </c>
      <c r="D12" s="196"/>
      <c r="E12" s="196">
        <v>7256.5156757089626</v>
      </c>
      <c r="F12" s="196"/>
      <c r="G12" s="196">
        <v>1835.1442764756744</v>
      </c>
      <c r="H12" s="196"/>
      <c r="I12" s="196">
        <v>333.82414147518506</v>
      </c>
      <c r="J12" s="196"/>
      <c r="K12" s="196">
        <v>1390.032122784753</v>
      </c>
      <c r="L12" s="191"/>
      <c r="M12" s="196">
        <v>111.28801221573622</v>
      </c>
      <c r="N12" s="196"/>
      <c r="O12" s="196">
        <v>5421.3713992332878</v>
      </c>
      <c r="P12" s="196"/>
      <c r="Q12" s="196">
        <v>5081.9319877151975</v>
      </c>
      <c r="R12" s="196"/>
      <c r="S12" s="196">
        <v>4263.8165302176485</v>
      </c>
      <c r="T12" s="196"/>
      <c r="U12" s="196">
        <v>818.11545749754964</v>
      </c>
      <c r="V12" s="196"/>
      <c r="W12" s="196">
        <v>339.43941151809042</v>
      </c>
      <c r="X12" s="196"/>
      <c r="Y12" s="196">
        <v>274.54254524198984</v>
      </c>
      <c r="Z12" s="196"/>
      <c r="AA12" s="196">
        <v>64.896866276100553</v>
      </c>
    </row>
    <row r="13" spans="1:27" x14ac:dyDescent="0.25">
      <c r="A13" s="6" t="str">
        <f t="shared" si="0"/>
        <v>jun - ago2010</v>
      </c>
      <c r="B13" s="198">
        <v>2010</v>
      </c>
      <c r="C13" s="197" t="s">
        <v>169</v>
      </c>
      <c r="D13" s="196"/>
      <c r="E13" s="196">
        <v>7289.221280886205</v>
      </c>
      <c r="F13" s="196"/>
      <c r="G13" s="196">
        <v>1869.5294576441222</v>
      </c>
      <c r="H13" s="196"/>
      <c r="I13" s="196">
        <v>333.7709751289625</v>
      </c>
      <c r="J13" s="196"/>
      <c r="K13" s="196">
        <v>1430.9709383472064</v>
      </c>
      <c r="L13" s="191"/>
      <c r="M13" s="196">
        <v>104.7875441679534</v>
      </c>
      <c r="N13" s="196"/>
      <c r="O13" s="196">
        <v>5419.6918232420821</v>
      </c>
      <c r="P13" s="196"/>
      <c r="Q13" s="196">
        <v>5080.1993943905263</v>
      </c>
      <c r="R13" s="196"/>
      <c r="S13" s="196">
        <v>4262.490199889814</v>
      </c>
      <c r="T13" s="196"/>
      <c r="U13" s="196">
        <v>817.70919450071301</v>
      </c>
      <c r="V13" s="196"/>
      <c r="W13" s="196">
        <v>339.49242885155599</v>
      </c>
      <c r="X13" s="196"/>
      <c r="Y13" s="196">
        <v>275.60073233431126</v>
      </c>
      <c r="Z13" s="196" t="s">
        <v>212</v>
      </c>
      <c r="AA13" s="196">
        <v>63.891696517244711</v>
      </c>
    </row>
    <row r="14" spans="1:27" x14ac:dyDescent="0.25">
      <c r="A14" s="6" t="str">
        <f t="shared" si="0"/>
        <v>jul - sep2010</v>
      </c>
      <c r="B14" s="198">
        <v>2010</v>
      </c>
      <c r="C14" s="197" t="s">
        <v>168</v>
      </c>
      <c r="D14" s="196"/>
      <c r="E14" s="196">
        <v>7389.4660937310846</v>
      </c>
      <c r="F14" s="196"/>
      <c r="G14" s="196">
        <v>1921.2386406448209</v>
      </c>
      <c r="H14" s="196"/>
      <c r="I14" s="196">
        <v>339.05719440110983</v>
      </c>
      <c r="J14" s="196"/>
      <c r="K14" s="196">
        <v>1477.5522589260302</v>
      </c>
      <c r="L14" s="191"/>
      <c r="M14" s="196">
        <v>104.62918731768083</v>
      </c>
      <c r="N14" s="196"/>
      <c r="O14" s="196">
        <v>5468.2274530862633</v>
      </c>
      <c r="P14" s="196"/>
      <c r="Q14" s="196">
        <v>5130.210423762177</v>
      </c>
      <c r="R14" s="196"/>
      <c r="S14" s="196">
        <v>4319.840751431544</v>
      </c>
      <c r="T14" s="196"/>
      <c r="U14" s="196">
        <v>810.36967233063331</v>
      </c>
      <c r="V14" s="196"/>
      <c r="W14" s="196">
        <v>338.01702932408614</v>
      </c>
      <c r="X14" s="196"/>
      <c r="Y14" s="196">
        <v>276.16054676182341</v>
      </c>
      <c r="Z14" s="196"/>
      <c r="AA14" s="196">
        <v>61.856482562262748</v>
      </c>
    </row>
    <row r="15" spans="1:27" x14ac:dyDescent="0.25">
      <c r="A15" s="6" t="str">
        <f t="shared" si="0"/>
        <v>ago - oct2010</v>
      </c>
      <c r="B15" s="198">
        <v>2010</v>
      </c>
      <c r="C15" s="197" t="s">
        <v>167</v>
      </c>
      <c r="D15" s="196"/>
      <c r="E15" s="196">
        <v>7414.4299927705151</v>
      </c>
      <c r="F15" s="196"/>
      <c r="G15" s="196">
        <v>1932.5876858941306</v>
      </c>
      <c r="H15" s="196"/>
      <c r="I15" s="196">
        <v>343.6848201170589</v>
      </c>
      <c r="J15" s="196"/>
      <c r="K15" s="196">
        <v>1485.6104188349827</v>
      </c>
      <c r="L15" s="191"/>
      <c r="M15" s="196">
        <v>103.29244694208893</v>
      </c>
      <c r="N15" s="196"/>
      <c r="O15" s="196">
        <v>5481.842306876385</v>
      </c>
      <c r="P15" s="196"/>
      <c r="Q15" s="196">
        <v>5150.7953355871268</v>
      </c>
      <c r="R15" s="196"/>
      <c r="S15" s="196">
        <v>4350.2210643817252</v>
      </c>
      <c r="T15" s="196"/>
      <c r="U15" s="196">
        <v>800.57427120540171</v>
      </c>
      <c r="V15" s="196"/>
      <c r="W15" s="196">
        <v>331.04697128925721</v>
      </c>
      <c r="X15" s="196"/>
      <c r="Y15" s="196">
        <v>265.48846648487074</v>
      </c>
      <c r="Z15" s="196"/>
      <c r="AA15" s="196">
        <v>65.558504804386416</v>
      </c>
    </row>
    <row r="16" spans="1:27" x14ac:dyDescent="0.25">
      <c r="A16" s="6" t="str">
        <f t="shared" si="0"/>
        <v>sep - nov2010</v>
      </c>
      <c r="B16" s="198">
        <v>2010</v>
      </c>
      <c r="C16" s="197" t="s">
        <v>166</v>
      </c>
      <c r="D16" s="196"/>
      <c r="E16" s="196">
        <v>7503.0922512473935</v>
      </c>
      <c r="F16" s="196"/>
      <c r="G16" s="196">
        <v>1944.2734036726431</v>
      </c>
      <c r="H16" s="196"/>
      <c r="I16" s="196">
        <v>347.12171402294268</v>
      </c>
      <c r="J16" s="196"/>
      <c r="K16" s="196">
        <v>1486.0720708611966</v>
      </c>
      <c r="L16" s="191"/>
      <c r="M16" s="196">
        <v>111.07961878850378</v>
      </c>
      <c r="N16" s="196"/>
      <c r="O16" s="196">
        <v>5558.8188475747511</v>
      </c>
      <c r="P16" s="196"/>
      <c r="Q16" s="196">
        <v>5216.8599328272767</v>
      </c>
      <c r="R16" s="196"/>
      <c r="S16" s="196">
        <v>4428.7755491002863</v>
      </c>
      <c r="T16" s="196"/>
      <c r="U16" s="196">
        <v>788.08438372699038</v>
      </c>
      <c r="V16" s="196"/>
      <c r="W16" s="196">
        <v>341.9589147474743</v>
      </c>
      <c r="X16" s="196"/>
      <c r="Y16" s="196">
        <v>274.73545706359772</v>
      </c>
      <c r="Z16" s="196"/>
      <c r="AA16" s="196">
        <v>67.223457683876518</v>
      </c>
    </row>
    <row r="17" spans="1:27" x14ac:dyDescent="0.25">
      <c r="A17" s="6" t="str">
        <f t="shared" si="0"/>
        <v>oct - dic2010</v>
      </c>
      <c r="B17" s="198">
        <v>2010</v>
      </c>
      <c r="C17" s="197" t="s">
        <v>165</v>
      </c>
      <c r="D17" s="196"/>
      <c r="E17" s="196">
        <v>7572.3177515504012</v>
      </c>
      <c r="F17" s="196"/>
      <c r="G17" s="196">
        <v>1935.4637815813767</v>
      </c>
      <c r="H17" s="196"/>
      <c r="I17" s="196">
        <v>340.32333812897861</v>
      </c>
      <c r="J17" s="196"/>
      <c r="K17" s="196">
        <v>1486.3216591848227</v>
      </c>
      <c r="L17" s="191"/>
      <c r="M17" s="196">
        <v>108.81878426757557</v>
      </c>
      <c r="N17" s="196"/>
      <c r="O17" s="196">
        <v>5636.8539699690245</v>
      </c>
      <c r="P17" s="196"/>
      <c r="Q17" s="196">
        <v>5294.6577310301627</v>
      </c>
      <c r="R17" s="196"/>
      <c r="S17" s="196">
        <v>4524.1406406573142</v>
      </c>
      <c r="T17" s="196"/>
      <c r="U17" s="196">
        <v>770.51709037284877</v>
      </c>
      <c r="V17" s="196"/>
      <c r="W17" s="196">
        <v>342.19623893886262</v>
      </c>
      <c r="X17" s="196"/>
      <c r="Y17" s="196">
        <v>273.5035980446786</v>
      </c>
      <c r="Z17" s="196"/>
      <c r="AA17" s="196">
        <v>68.692640894184066</v>
      </c>
    </row>
    <row r="18" spans="1:27" x14ac:dyDescent="0.25">
      <c r="A18" s="6" t="str">
        <f t="shared" si="0"/>
        <v>nov - ene2010</v>
      </c>
      <c r="B18" s="198">
        <v>2010</v>
      </c>
      <c r="C18" s="197" t="s">
        <v>164</v>
      </c>
      <c r="D18" s="196"/>
      <c r="E18" s="196">
        <v>7615.516313016522</v>
      </c>
      <c r="F18" s="196"/>
      <c r="G18" s="196">
        <v>1921.3784694509507</v>
      </c>
      <c r="H18" s="196"/>
      <c r="I18" s="196">
        <v>364.60946307946233</v>
      </c>
      <c r="J18" s="196"/>
      <c r="K18" s="196">
        <v>1457.538660052812</v>
      </c>
      <c r="L18" s="191"/>
      <c r="M18" s="196">
        <v>99.230346318676382</v>
      </c>
      <c r="N18" s="196"/>
      <c r="O18" s="196">
        <v>5694.1378435655715</v>
      </c>
      <c r="P18" s="196"/>
      <c r="Q18" s="196">
        <v>5352.7801624870972</v>
      </c>
      <c r="R18" s="196"/>
      <c r="S18" s="196">
        <v>4590.2796120172825</v>
      </c>
      <c r="T18" s="196"/>
      <c r="U18" s="196">
        <v>762.50055046981436</v>
      </c>
      <c r="V18" s="196"/>
      <c r="W18" s="196">
        <v>341.35768107847423</v>
      </c>
      <c r="X18" s="196"/>
      <c r="Y18" s="196">
        <v>272.66504445418536</v>
      </c>
      <c r="Z18" s="196"/>
      <c r="AA18" s="196">
        <v>68.692636624288866</v>
      </c>
    </row>
    <row r="19" spans="1:27" x14ac:dyDescent="0.25">
      <c r="A19" s="6" t="str">
        <f t="shared" si="0"/>
        <v>dic - feb2011</v>
      </c>
      <c r="B19" s="198">
        <v>2011</v>
      </c>
      <c r="C19" s="199" t="s">
        <v>163</v>
      </c>
      <c r="D19" s="196"/>
      <c r="E19" s="196">
        <v>7621.0299460485239</v>
      </c>
      <c r="F19" s="196"/>
      <c r="G19" s="196">
        <v>1881.3308816273739</v>
      </c>
      <c r="H19" s="196"/>
      <c r="I19" s="196">
        <v>364.72426575669232</v>
      </c>
      <c r="J19" s="196"/>
      <c r="K19" s="196">
        <v>1425.4782042420595</v>
      </c>
      <c r="L19" s="191"/>
      <c r="M19" s="196">
        <v>91.128411628622018</v>
      </c>
      <c r="N19" s="196"/>
      <c r="O19" s="196">
        <v>5739.6990644211501</v>
      </c>
      <c r="P19" s="196"/>
      <c r="Q19" s="196">
        <v>5397.1204674238461</v>
      </c>
      <c r="R19" s="196"/>
      <c r="S19" s="196">
        <v>4632.5646007362229</v>
      </c>
      <c r="T19" s="196"/>
      <c r="U19" s="196">
        <v>764.55586668762237</v>
      </c>
      <c r="V19" s="196"/>
      <c r="W19" s="196">
        <v>342.57859699730432</v>
      </c>
      <c r="X19" s="196"/>
      <c r="Y19" s="196">
        <v>267.52691990711094</v>
      </c>
      <c r="Z19" s="196"/>
      <c r="AA19" s="196">
        <v>75.051677090193394</v>
      </c>
    </row>
    <row r="20" spans="1:27" x14ac:dyDescent="0.25">
      <c r="A20" s="6" t="str">
        <f t="shared" si="0"/>
        <v>ene - mar2011</v>
      </c>
      <c r="B20" s="198">
        <v>2011</v>
      </c>
      <c r="C20" s="197" t="s">
        <v>162</v>
      </c>
      <c r="D20" s="196"/>
      <c r="E20" s="196">
        <v>7623.9218017392459</v>
      </c>
      <c r="F20" s="196"/>
      <c r="G20" s="196">
        <v>1871.8516136724199</v>
      </c>
      <c r="H20" s="196"/>
      <c r="I20" s="196">
        <v>364.9877800583879</v>
      </c>
      <c r="J20" s="196"/>
      <c r="K20" s="196">
        <v>1413.6429203853827</v>
      </c>
      <c r="L20" s="191"/>
      <c r="M20" s="196">
        <v>93.22091322864938</v>
      </c>
      <c r="N20" s="196"/>
      <c r="O20" s="196">
        <v>5752.0701880668257</v>
      </c>
      <c r="P20" s="196"/>
      <c r="Q20" s="196">
        <v>5395.5330653936844</v>
      </c>
      <c r="R20" s="196"/>
      <c r="S20" s="196">
        <v>4640.7123292344004</v>
      </c>
      <c r="T20" s="196"/>
      <c r="U20" s="196">
        <v>754.820736159283</v>
      </c>
      <c r="V20" s="196"/>
      <c r="W20" s="196">
        <v>356.53712267314125</v>
      </c>
      <c r="X20" s="196"/>
      <c r="Y20" s="196">
        <v>280.02615420429578</v>
      </c>
      <c r="Z20" s="196"/>
      <c r="AA20" s="196">
        <v>76.510968468845491</v>
      </c>
    </row>
    <row r="21" spans="1:27" x14ac:dyDescent="0.25">
      <c r="A21" s="6" t="str">
        <f t="shared" si="0"/>
        <v>feb - abr2011</v>
      </c>
      <c r="B21" s="198">
        <v>2011</v>
      </c>
      <c r="C21" s="197" t="s">
        <v>173</v>
      </c>
      <c r="D21" s="196"/>
      <c r="E21" s="196">
        <v>7655.0958412461196</v>
      </c>
      <c r="F21" s="196"/>
      <c r="G21" s="196">
        <v>1916.8742226980835</v>
      </c>
      <c r="H21" s="196"/>
      <c r="I21" s="196">
        <v>347.66246088736318</v>
      </c>
      <c r="J21" s="196"/>
      <c r="K21" s="196">
        <v>1469.0680542590915</v>
      </c>
      <c r="L21" s="191"/>
      <c r="M21" s="196">
        <v>100.14370755162891</v>
      </c>
      <c r="N21" s="196"/>
      <c r="O21" s="196">
        <v>5738.2216185480365</v>
      </c>
      <c r="P21" s="196"/>
      <c r="Q21" s="196">
        <v>5382.7168042929743</v>
      </c>
      <c r="R21" s="196"/>
      <c r="S21" s="196">
        <v>4621.612531529734</v>
      </c>
      <c r="T21" s="196"/>
      <c r="U21" s="196">
        <v>761.10427276323981</v>
      </c>
      <c r="V21" s="196"/>
      <c r="W21" s="196">
        <v>355.50481425506234</v>
      </c>
      <c r="X21" s="196"/>
      <c r="Y21" s="196">
        <v>281.16994140490772</v>
      </c>
      <c r="Z21" s="196"/>
      <c r="AA21" s="196">
        <v>74.334872850154554</v>
      </c>
    </row>
    <row r="22" spans="1:27" x14ac:dyDescent="0.25">
      <c r="A22" s="6" t="str">
        <f t="shared" si="0"/>
        <v>mar - may2011</v>
      </c>
      <c r="B22" s="198">
        <v>2011</v>
      </c>
      <c r="C22" s="197" t="s">
        <v>172</v>
      </c>
      <c r="D22" s="196"/>
      <c r="E22" s="196">
        <v>7665.5224712090721</v>
      </c>
      <c r="F22" s="196"/>
      <c r="G22" s="196">
        <v>1954.5889982564963</v>
      </c>
      <c r="H22" s="196"/>
      <c r="I22" s="196">
        <v>354.44404105238675</v>
      </c>
      <c r="J22" s="196"/>
      <c r="K22" s="196">
        <v>1503.3372249455329</v>
      </c>
      <c r="L22" s="191"/>
      <c r="M22" s="196">
        <v>96.807732258576848</v>
      </c>
      <c r="N22" s="196"/>
      <c r="O22" s="196">
        <v>5710.9334729525754</v>
      </c>
      <c r="P22" s="196"/>
      <c r="Q22" s="196">
        <v>5351.3031524262014</v>
      </c>
      <c r="R22" s="196"/>
      <c r="S22" s="196">
        <v>4581.4699235551743</v>
      </c>
      <c r="T22" s="196"/>
      <c r="U22" s="196">
        <v>769.83322887102793</v>
      </c>
      <c r="V22" s="196"/>
      <c r="W22" s="196">
        <v>359.63032052637368</v>
      </c>
      <c r="X22" s="196"/>
      <c r="Y22" s="196">
        <v>286.17483802033905</v>
      </c>
      <c r="Z22" s="196"/>
      <c r="AA22" s="196">
        <v>73.455482506034613</v>
      </c>
    </row>
    <row r="23" spans="1:27" x14ac:dyDescent="0.25">
      <c r="A23" s="6" t="str">
        <f t="shared" si="0"/>
        <v>abr - jun2011</v>
      </c>
      <c r="B23" s="198">
        <v>2011</v>
      </c>
      <c r="C23" s="197" t="s">
        <v>171</v>
      </c>
      <c r="D23" s="196"/>
      <c r="E23" s="196">
        <v>7698.5433083204725</v>
      </c>
      <c r="F23" s="196"/>
      <c r="G23" s="196">
        <v>1997.5987838044</v>
      </c>
      <c r="H23" s="196"/>
      <c r="I23" s="196">
        <v>361.28542652836956</v>
      </c>
      <c r="J23" s="196"/>
      <c r="K23" s="196">
        <v>1541.2041962962749</v>
      </c>
      <c r="L23" s="191"/>
      <c r="M23" s="196">
        <v>95.109160979755401</v>
      </c>
      <c r="N23" s="196"/>
      <c r="O23" s="196">
        <v>5700.9445245160732</v>
      </c>
      <c r="P23" s="196"/>
      <c r="Q23" s="196">
        <v>5337.1966510726306</v>
      </c>
      <c r="R23" s="196"/>
      <c r="S23" s="196">
        <v>4553.7149900377281</v>
      </c>
      <c r="T23" s="196"/>
      <c r="U23" s="196">
        <v>783.48166103490223</v>
      </c>
      <c r="V23" s="196"/>
      <c r="W23" s="196">
        <v>363.74787344344242</v>
      </c>
      <c r="X23" s="196"/>
      <c r="Y23" s="196">
        <v>289.00605332093534</v>
      </c>
      <c r="Z23" s="196"/>
      <c r="AA23" s="196">
        <v>74.741820122507036</v>
      </c>
    </row>
    <row r="24" spans="1:27" x14ac:dyDescent="0.25">
      <c r="A24" s="6" t="str">
        <f t="shared" si="0"/>
        <v>may - jul2011</v>
      </c>
      <c r="B24" s="198">
        <v>2011</v>
      </c>
      <c r="C24" s="197" t="s">
        <v>170</v>
      </c>
      <c r="D24" s="196"/>
      <c r="E24" s="196">
        <v>7659.4265621609147</v>
      </c>
      <c r="F24" s="196"/>
      <c r="G24" s="196">
        <v>1963.9921882210465</v>
      </c>
      <c r="H24" s="196"/>
      <c r="I24" s="196">
        <v>357.26625120656166</v>
      </c>
      <c r="J24" s="196"/>
      <c r="K24" s="196">
        <v>1520.9238781814504</v>
      </c>
      <c r="L24" s="191"/>
      <c r="M24" s="196">
        <v>85.80205883303438</v>
      </c>
      <c r="N24" s="196"/>
      <c r="O24" s="196">
        <v>5695.4343739398691</v>
      </c>
      <c r="P24" s="196"/>
      <c r="Q24" s="196">
        <v>5337.3862332499748</v>
      </c>
      <c r="R24" s="196"/>
      <c r="S24" s="196">
        <v>4558.3102260558653</v>
      </c>
      <c r="T24" s="196"/>
      <c r="U24" s="196">
        <v>779.07600719411005</v>
      </c>
      <c r="V24" s="196"/>
      <c r="W24" s="196">
        <v>358.04814068989373</v>
      </c>
      <c r="X24" s="196"/>
      <c r="Y24" s="196">
        <v>287.91571355763386</v>
      </c>
      <c r="Z24" s="196"/>
      <c r="AA24" s="196">
        <v>70.132427132259892</v>
      </c>
    </row>
    <row r="25" spans="1:27" x14ac:dyDescent="0.25">
      <c r="A25" s="6" t="str">
        <f t="shared" si="0"/>
        <v>jun - ago2011</v>
      </c>
      <c r="B25" s="198">
        <v>2011</v>
      </c>
      <c r="C25" s="197" t="s">
        <v>169</v>
      </c>
      <c r="D25" s="196"/>
      <c r="E25" s="196">
        <v>7684.1899585944329</v>
      </c>
      <c r="F25" s="196"/>
      <c r="G25" s="196">
        <v>1966.6243736538095</v>
      </c>
      <c r="H25" s="196"/>
      <c r="I25" s="196">
        <v>349.26801282771964</v>
      </c>
      <c r="J25" s="196"/>
      <c r="K25" s="196">
        <v>1525.7930111773983</v>
      </c>
      <c r="L25" s="191"/>
      <c r="M25" s="196">
        <v>91.563349648691826</v>
      </c>
      <c r="N25" s="196"/>
      <c r="O25" s="196">
        <v>5717.5655849406239</v>
      </c>
      <c r="P25" s="196"/>
      <c r="Q25" s="196">
        <v>5357.3060444829043</v>
      </c>
      <c r="R25" s="196"/>
      <c r="S25" s="196">
        <v>4561.9689670350526</v>
      </c>
      <c r="T25" s="196"/>
      <c r="U25" s="196">
        <v>795.33707744785227</v>
      </c>
      <c r="V25" s="196"/>
      <c r="W25" s="196">
        <v>360.25954045771897</v>
      </c>
      <c r="X25" s="196"/>
      <c r="Y25" s="196">
        <v>291.45278590570177</v>
      </c>
      <c r="Z25" s="196"/>
      <c r="AA25" s="196">
        <v>68.806754552017168</v>
      </c>
    </row>
    <row r="26" spans="1:27" x14ac:dyDescent="0.25">
      <c r="A26" s="6" t="str">
        <f t="shared" si="0"/>
        <v>jul - sep2011</v>
      </c>
      <c r="B26" s="198">
        <v>2011</v>
      </c>
      <c r="C26" s="197" t="s">
        <v>168</v>
      </c>
      <c r="D26" s="196"/>
      <c r="E26" s="196">
        <v>7688.406161390224</v>
      </c>
      <c r="F26" s="196"/>
      <c r="G26" s="196">
        <v>1978.8038088427561</v>
      </c>
      <c r="H26" s="196"/>
      <c r="I26" s="196">
        <v>347.19218821731255</v>
      </c>
      <c r="J26" s="196"/>
      <c r="K26" s="196">
        <v>1534.3652530107704</v>
      </c>
      <c r="L26" s="191"/>
      <c r="M26" s="196">
        <v>97.246367614673176</v>
      </c>
      <c r="N26" s="196"/>
      <c r="O26" s="196">
        <v>5709.6023525474684</v>
      </c>
      <c r="P26" s="196"/>
      <c r="Q26" s="196">
        <v>5350.2548274401024</v>
      </c>
      <c r="R26" s="196"/>
      <c r="S26" s="196">
        <v>4549.4206684518149</v>
      </c>
      <c r="T26" s="196"/>
      <c r="U26" s="196">
        <v>800.83415898828787</v>
      </c>
      <c r="V26" s="196"/>
      <c r="W26" s="196">
        <v>359.34752510736604</v>
      </c>
      <c r="X26" s="196"/>
      <c r="Y26" s="196">
        <v>296.53229606752478</v>
      </c>
      <c r="Z26" s="196"/>
      <c r="AA26" s="196">
        <v>62.815229039841277</v>
      </c>
    </row>
    <row r="27" spans="1:27" x14ac:dyDescent="0.25">
      <c r="A27" s="6" t="str">
        <f t="shared" si="0"/>
        <v>ago - oct2011</v>
      </c>
      <c r="B27" s="198">
        <v>2011</v>
      </c>
      <c r="C27" s="197" t="s">
        <v>167</v>
      </c>
      <c r="D27" s="196"/>
      <c r="E27" s="196">
        <v>7703.1361115644704</v>
      </c>
      <c r="F27" s="196"/>
      <c r="G27" s="196">
        <v>1962.1965323421812</v>
      </c>
      <c r="H27" s="196"/>
      <c r="I27" s="196">
        <v>336.40320525233517</v>
      </c>
      <c r="J27" s="196"/>
      <c r="K27" s="196">
        <v>1525.038859349401</v>
      </c>
      <c r="L27" s="191"/>
      <c r="M27" s="196">
        <v>100.75446774044475</v>
      </c>
      <c r="N27" s="196"/>
      <c r="O27" s="196">
        <v>5740.9395792222886</v>
      </c>
      <c r="P27" s="196"/>
      <c r="Q27" s="196">
        <v>5371.8699528383331</v>
      </c>
      <c r="R27" s="196"/>
      <c r="S27" s="196">
        <v>4566.9362448933198</v>
      </c>
      <c r="T27" s="196"/>
      <c r="U27" s="196">
        <v>804.93370794501368</v>
      </c>
      <c r="V27" s="196"/>
      <c r="W27" s="196">
        <v>369.06962638395601</v>
      </c>
      <c r="X27" s="196"/>
      <c r="Y27" s="196">
        <v>301.72066134640937</v>
      </c>
      <c r="Z27" s="196"/>
      <c r="AA27" s="196">
        <v>67.348965037546648</v>
      </c>
    </row>
    <row r="28" spans="1:27" x14ac:dyDescent="0.25">
      <c r="A28" s="6" t="str">
        <f t="shared" si="0"/>
        <v>sep - nov2011</v>
      </c>
      <c r="B28" s="198">
        <v>2011</v>
      </c>
      <c r="C28" s="197" t="s">
        <v>166</v>
      </c>
      <c r="D28" s="196"/>
      <c r="E28" s="196">
        <v>7716.851185045567</v>
      </c>
      <c r="F28" s="196"/>
      <c r="G28" s="196">
        <v>1940.9599992617864</v>
      </c>
      <c r="H28" s="196"/>
      <c r="I28" s="196">
        <v>331.01112605256128</v>
      </c>
      <c r="J28" s="196"/>
      <c r="K28" s="196">
        <v>1502.5004679180911</v>
      </c>
      <c r="L28" s="191"/>
      <c r="M28" s="196">
        <v>107.44840529113404</v>
      </c>
      <c r="N28" s="196"/>
      <c r="O28" s="196">
        <v>5775.8911857837811</v>
      </c>
      <c r="P28" s="196"/>
      <c r="Q28" s="196">
        <v>5409.0233090020365</v>
      </c>
      <c r="R28" s="196"/>
      <c r="S28" s="196">
        <v>4584.5347457678936</v>
      </c>
      <c r="T28" s="196"/>
      <c r="U28" s="196">
        <v>824.48856323414338</v>
      </c>
      <c r="V28" s="196"/>
      <c r="W28" s="196">
        <v>366.86787678174449</v>
      </c>
      <c r="X28" s="196"/>
      <c r="Y28" s="196">
        <v>301.70337237352197</v>
      </c>
      <c r="Z28" s="196"/>
      <c r="AA28" s="196">
        <v>65.164504408222513</v>
      </c>
    </row>
    <row r="29" spans="1:27" x14ac:dyDescent="0.25">
      <c r="A29" s="6" t="str">
        <f t="shared" si="0"/>
        <v>oct - dic2011</v>
      </c>
      <c r="B29" s="198">
        <v>2011</v>
      </c>
      <c r="C29" s="197" t="s">
        <v>165</v>
      </c>
      <c r="D29" s="196"/>
      <c r="E29" s="196">
        <v>7786.90190352638</v>
      </c>
      <c r="F29" s="196"/>
      <c r="G29" s="196">
        <v>1864.8445061000075</v>
      </c>
      <c r="H29" s="196"/>
      <c r="I29" s="196">
        <v>316.37640426123085</v>
      </c>
      <c r="J29" s="196"/>
      <c r="K29" s="196">
        <v>1442.7142466341381</v>
      </c>
      <c r="L29" s="191"/>
      <c r="M29" s="196">
        <v>105.75385520463868</v>
      </c>
      <c r="N29" s="196"/>
      <c r="O29" s="196">
        <v>5922.0573974263725</v>
      </c>
      <c r="P29" s="196"/>
      <c r="Q29" s="196">
        <v>5545.8441958443036</v>
      </c>
      <c r="R29" s="196"/>
      <c r="S29" s="196">
        <v>4706.0645492922731</v>
      </c>
      <c r="T29" s="196"/>
      <c r="U29" s="196">
        <v>839.77964655203061</v>
      </c>
      <c r="V29" s="196"/>
      <c r="W29" s="196">
        <v>376.2132015820689</v>
      </c>
      <c r="X29" s="196"/>
      <c r="Y29" s="196">
        <v>310.38195921495299</v>
      </c>
      <c r="Z29" s="196"/>
      <c r="AA29" s="196">
        <v>65.831242367115905</v>
      </c>
    </row>
    <row r="30" spans="1:27" x14ac:dyDescent="0.25">
      <c r="A30" s="6" t="str">
        <f t="shared" si="0"/>
        <v>nov - ene2011</v>
      </c>
      <c r="B30" s="198">
        <v>2011</v>
      </c>
      <c r="C30" s="197" t="s">
        <v>164</v>
      </c>
      <c r="D30" s="196"/>
      <c r="E30" s="196">
        <v>7816.5534256777564</v>
      </c>
      <c r="F30" s="196"/>
      <c r="G30" s="196">
        <v>1829.8991858298164</v>
      </c>
      <c r="H30" s="196"/>
      <c r="I30" s="196">
        <v>319.4193998734562</v>
      </c>
      <c r="J30" s="196"/>
      <c r="K30" s="196">
        <v>1408.1857817445132</v>
      </c>
      <c r="L30" s="191"/>
      <c r="M30" s="196">
        <v>102.29400421184698</v>
      </c>
      <c r="N30" s="196"/>
      <c r="O30" s="196">
        <v>5986.6542398479405</v>
      </c>
      <c r="P30" s="196"/>
      <c r="Q30" s="196">
        <v>5619.8848843165988</v>
      </c>
      <c r="R30" s="196"/>
      <c r="S30" s="196">
        <v>4774.2543601552879</v>
      </c>
      <c r="T30" s="196"/>
      <c r="U30" s="196">
        <v>845.63052416131086</v>
      </c>
      <c r="V30" s="196"/>
      <c r="W30" s="196">
        <v>366.76935553134177</v>
      </c>
      <c r="X30" s="196"/>
      <c r="Y30" s="196">
        <v>304.43586159635299</v>
      </c>
      <c r="Z30" s="196"/>
      <c r="AA30" s="196">
        <v>62.333493934988745</v>
      </c>
    </row>
    <row r="31" spans="1:27" x14ac:dyDescent="0.25">
      <c r="A31" s="6" t="str">
        <f t="shared" si="0"/>
        <v>dic - feb2012</v>
      </c>
      <c r="B31" s="198">
        <v>2012</v>
      </c>
      <c r="C31" s="199" t="s">
        <v>163</v>
      </c>
      <c r="D31" s="196"/>
      <c r="E31" s="196">
        <v>7874.073702067556</v>
      </c>
      <c r="F31" s="196"/>
      <c r="G31" s="196">
        <v>1831.6703405791359</v>
      </c>
      <c r="H31" s="196"/>
      <c r="I31" s="196">
        <v>319.96167126021072</v>
      </c>
      <c r="J31" s="196"/>
      <c r="K31" s="196">
        <v>1411.2269400948674</v>
      </c>
      <c r="L31" s="191"/>
      <c r="M31" s="196">
        <v>100.48172922405772</v>
      </c>
      <c r="N31" s="196"/>
      <c r="O31" s="196">
        <v>6042.4033614884193</v>
      </c>
      <c r="P31" s="196"/>
      <c r="Q31" s="196">
        <v>5685.3741099200352</v>
      </c>
      <c r="R31" s="196"/>
      <c r="S31" s="196">
        <v>4841.3260718310394</v>
      </c>
      <c r="T31" s="196"/>
      <c r="U31" s="196">
        <v>844.0480380889951</v>
      </c>
      <c r="V31" s="196"/>
      <c r="W31" s="196">
        <v>357.02925156838506</v>
      </c>
      <c r="X31" s="196"/>
      <c r="Y31" s="196">
        <v>292.55009587995033</v>
      </c>
      <c r="Z31" s="196"/>
      <c r="AA31" s="196">
        <v>64.479155688434673</v>
      </c>
    </row>
    <row r="32" spans="1:27" x14ac:dyDescent="0.25">
      <c r="A32" s="6" t="str">
        <f t="shared" si="0"/>
        <v>ene - mar2012</v>
      </c>
      <c r="B32" s="198">
        <v>2012</v>
      </c>
      <c r="C32" s="197" t="s">
        <v>162</v>
      </c>
      <c r="D32" s="196"/>
      <c r="E32" s="196">
        <v>7844.7755797467908</v>
      </c>
      <c r="F32" s="196"/>
      <c r="G32" s="196">
        <v>1853.6693106678129</v>
      </c>
      <c r="H32" s="196"/>
      <c r="I32" s="196">
        <v>322.74893859512264</v>
      </c>
      <c r="J32" s="196"/>
      <c r="K32" s="196">
        <v>1432.2211316255309</v>
      </c>
      <c r="L32" s="191"/>
      <c r="M32" s="196">
        <v>98.699240447159113</v>
      </c>
      <c r="N32" s="196"/>
      <c r="O32" s="196">
        <v>5991.1062690789786</v>
      </c>
      <c r="P32" s="196"/>
      <c r="Q32" s="196">
        <v>5644.806847122416</v>
      </c>
      <c r="R32" s="196"/>
      <c r="S32" s="196">
        <v>4807.3576389563295</v>
      </c>
      <c r="T32" s="196"/>
      <c r="U32" s="196">
        <v>837.44920816608692</v>
      </c>
      <c r="V32" s="196"/>
      <c r="W32" s="196">
        <v>346.29942195656236</v>
      </c>
      <c r="X32" s="196"/>
      <c r="Y32" s="196">
        <v>279.83103742636035</v>
      </c>
      <c r="Z32" s="196"/>
      <c r="AA32" s="196">
        <v>66.468384530202002</v>
      </c>
    </row>
    <row r="33" spans="1:27" x14ac:dyDescent="0.25">
      <c r="A33" s="6" t="str">
        <f t="shared" si="0"/>
        <v>feb - abr2012</v>
      </c>
      <c r="B33" s="198">
        <v>2012</v>
      </c>
      <c r="C33" s="197" t="s">
        <v>173</v>
      </c>
      <c r="D33" s="196"/>
      <c r="E33" s="196">
        <v>7850.4581172158923</v>
      </c>
      <c r="F33" s="196"/>
      <c r="G33" s="196">
        <v>1873.2948777097604</v>
      </c>
      <c r="H33" s="196"/>
      <c r="I33" s="196">
        <v>322.73925644284708</v>
      </c>
      <c r="J33" s="196"/>
      <c r="K33" s="196">
        <v>1457.5514980197765</v>
      </c>
      <c r="L33" s="191"/>
      <c r="M33" s="196">
        <v>93.004123247136633</v>
      </c>
      <c r="N33" s="196"/>
      <c r="O33" s="196">
        <v>5977.1632395061324</v>
      </c>
      <c r="P33" s="196"/>
      <c r="Q33" s="196">
        <v>5632.0285569434473</v>
      </c>
      <c r="R33" s="196"/>
      <c r="S33" s="196">
        <v>4791.6562908278884</v>
      </c>
      <c r="T33" s="196"/>
      <c r="U33" s="196">
        <v>840.37226611555911</v>
      </c>
      <c r="V33" s="196"/>
      <c r="W33" s="196">
        <v>345.13468256268465</v>
      </c>
      <c r="X33" s="196"/>
      <c r="Y33" s="196">
        <v>281.20748161258609</v>
      </c>
      <c r="Z33" s="196"/>
      <c r="AA33" s="196">
        <v>63.927200950098602</v>
      </c>
    </row>
    <row r="34" spans="1:27" x14ac:dyDescent="0.25">
      <c r="A34" s="6" t="str">
        <f t="shared" si="0"/>
        <v>mar - may2012</v>
      </c>
      <c r="B34" s="198">
        <v>2012</v>
      </c>
      <c r="C34" s="197" t="s">
        <v>172</v>
      </c>
      <c r="D34" s="196"/>
      <c r="E34" s="196">
        <v>7838.2731927499708</v>
      </c>
      <c r="F34" s="196"/>
      <c r="G34" s="196">
        <v>1873.7820848465765</v>
      </c>
      <c r="H34" s="196"/>
      <c r="I34" s="196">
        <v>324.92442881609816</v>
      </c>
      <c r="J34" s="196"/>
      <c r="K34" s="196">
        <v>1459.860807883498</v>
      </c>
      <c r="L34" s="191"/>
      <c r="M34" s="196">
        <v>88.996848146980241</v>
      </c>
      <c r="N34" s="196"/>
      <c r="O34" s="196">
        <v>5964.4911079033936</v>
      </c>
      <c r="P34" s="196"/>
      <c r="Q34" s="196">
        <v>5610.9705163843037</v>
      </c>
      <c r="R34" s="196"/>
      <c r="S34" s="196">
        <v>4754.2936716678823</v>
      </c>
      <c r="T34" s="196"/>
      <c r="U34" s="196">
        <v>856.67684471642121</v>
      </c>
      <c r="V34" s="196"/>
      <c r="W34" s="196">
        <v>353.52059151909111</v>
      </c>
      <c r="X34" s="196"/>
      <c r="Y34" s="196">
        <v>286.64715740880968</v>
      </c>
      <c r="Z34" s="196"/>
      <c r="AA34" s="196">
        <v>66.873434110281408</v>
      </c>
    </row>
    <row r="35" spans="1:27" x14ac:dyDescent="0.25">
      <c r="A35" s="6" t="str">
        <f t="shared" si="0"/>
        <v>abr - jun2012</v>
      </c>
      <c r="B35" s="198">
        <v>2012</v>
      </c>
      <c r="C35" s="197" t="s">
        <v>171</v>
      </c>
      <c r="D35" s="196"/>
      <c r="E35" s="196">
        <v>7819.530112665534</v>
      </c>
      <c r="F35" s="196"/>
      <c r="G35" s="196">
        <v>1860.7812252617834</v>
      </c>
      <c r="H35" s="196"/>
      <c r="I35" s="196">
        <v>319.57544765403259</v>
      </c>
      <c r="J35" s="196"/>
      <c r="K35" s="196">
        <v>1454.6811447902605</v>
      </c>
      <c r="L35" s="191"/>
      <c r="M35" s="196">
        <v>86.524632817490343</v>
      </c>
      <c r="N35" s="196"/>
      <c r="O35" s="196">
        <v>5958.7488874037508</v>
      </c>
      <c r="P35" s="196"/>
      <c r="Q35" s="196">
        <v>5599.7326770766003</v>
      </c>
      <c r="R35" s="196"/>
      <c r="S35" s="196">
        <v>4740.7501911702093</v>
      </c>
      <c r="T35" s="196"/>
      <c r="U35" s="196">
        <v>858.98248590639139</v>
      </c>
      <c r="V35" s="196"/>
      <c r="W35" s="196">
        <v>359.01621032714979</v>
      </c>
      <c r="X35" s="196"/>
      <c r="Y35" s="196">
        <v>291.14940839070681</v>
      </c>
      <c r="Z35" s="196"/>
      <c r="AA35" s="196">
        <v>67.866801936443011</v>
      </c>
    </row>
    <row r="36" spans="1:27" x14ac:dyDescent="0.25">
      <c r="A36" s="6" t="str">
        <f t="shared" si="0"/>
        <v>may - jul2012</v>
      </c>
      <c r="B36" s="198">
        <v>2012</v>
      </c>
      <c r="C36" s="197" t="s">
        <v>170</v>
      </c>
      <c r="D36" s="196"/>
      <c r="E36" s="196">
        <v>7809.4546329599943</v>
      </c>
      <c r="F36" s="196"/>
      <c r="G36" s="196">
        <v>1857.6795322176772</v>
      </c>
      <c r="H36" s="196"/>
      <c r="I36" s="196">
        <v>317.55108822961103</v>
      </c>
      <c r="J36" s="196"/>
      <c r="K36" s="196">
        <v>1452.4627924151791</v>
      </c>
      <c r="L36" s="191"/>
      <c r="M36" s="196">
        <v>87.665651572887029</v>
      </c>
      <c r="N36" s="196"/>
      <c r="O36" s="196">
        <v>5951.7751007423167</v>
      </c>
      <c r="P36" s="196"/>
      <c r="Q36" s="196">
        <v>5587.1475948103725</v>
      </c>
      <c r="R36" s="196"/>
      <c r="S36" s="196">
        <v>4724.6964755966501</v>
      </c>
      <c r="T36" s="196"/>
      <c r="U36" s="196">
        <v>862.45111921372143</v>
      </c>
      <c r="V36" s="196"/>
      <c r="W36" s="196">
        <v>364.62750593194545</v>
      </c>
      <c r="X36" s="196"/>
      <c r="Y36" s="196">
        <v>298.50148178005503</v>
      </c>
      <c r="Z36" s="196"/>
      <c r="AA36" s="196">
        <v>66.126024151890448</v>
      </c>
    </row>
    <row r="37" spans="1:27" x14ac:dyDescent="0.25">
      <c r="A37" s="6" t="str">
        <f t="shared" si="0"/>
        <v>jun - ago2012</v>
      </c>
      <c r="B37" s="198">
        <v>2012</v>
      </c>
      <c r="C37" s="197" t="s">
        <v>169</v>
      </c>
      <c r="D37" s="196"/>
      <c r="E37" s="196">
        <v>7809.8886925380175</v>
      </c>
      <c r="F37" s="196"/>
      <c r="G37" s="196">
        <v>1878.4279462682648</v>
      </c>
      <c r="H37" s="196"/>
      <c r="I37" s="196">
        <v>303.78087894483872</v>
      </c>
      <c r="J37" s="196"/>
      <c r="K37" s="196">
        <v>1486.5520621866015</v>
      </c>
      <c r="L37" s="191"/>
      <c r="M37" s="196">
        <v>88.09500513682471</v>
      </c>
      <c r="N37" s="196"/>
      <c r="O37" s="196">
        <v>5931.4607462697522</v>
      </c>
      <c r="P37" s="196"/>
      <c r="Q37" s="196">
        <v>5568.3825056692704</v>
      </c>
      <c r="R37" s="196"/>
      <c r="S37" s="196">
        <v>4721.0347622114496</v>
      </c>
      <c r="T37" s="196"/>
      <c r="U37" s="196">
        <v>847.34774345782046</v>
      </c>
      <c r="V37" s="196"/>
      <c r="W37" s="196">
        <v>363.07824060048182</v>
      </c>
      <c r="X37" s="196"/>
      <c r="Y37" s="196">
        <v>297.63156809281077</v>
      </c>
      <c r="Z37" s="196"/>
      <c r="AA37" s="196">
        <v>65.446672507671053</v>
      </c>
    </row>
    <row r="38" spans="1:27" x14ac:dyDescent="0.25">
      <c r="A38" s="6" t="str">
        <f t="shared" si="0"/>
        <v>jul - sep2012</v>
      </c>
      <c r="B38" s="198">
        <v>2012</v>
      </c>
      <c r="C38" s="197" t="s">
        <v>168</v>
      </c>
      <c r="D38" s="196"/>
      <c r="E38" s="196">
        <v>7874.0751640024646</v>
      </c>
      <c r="F38" s="196"/>
      <c r="G38" s="196">
        <v>1917.666545775779</v>
      </c>
      <c r="H38" s="196"/>
      <c r="I38" s="196">
        <v>315.94530743716882</v>
      </c>
      <c r="J38" s="196"/>
      <c r="K38" s="196">
        <v>1513.4658992066616</v>
      </c>
      <c r="L38" s="191"/>
      <c r="M38" s="196">
        <v>88.255339131948645</v>
      </c>
      <c r="N38" s="196"/>
      <c r="O38" s="196">
        <v>5956.4086182266856</v>
      </c>
      <c r="P38" s="196"/>
      <c r="Q38" s="196">
        <v>5598.5577233034637</v>
      </c>
      <c r="R38" s="196"/>
      <c r="S38" s="196">
        <v>4742.5461562457403</v>
      </c>
      <c r="T38" s="196"/>
      <c r="U38" s="196">
        <v>856.01156705772337</v>
      </c>
      <c r="V38" s="196"/>
      <c r="W38" s="196">
        <v>357.8508949232218</v>
      </c>
      <c r="X38" s="196"/>
      <c r="Y38" s="196">
        <v>294.61233528622881</v>
      </c>
      <c r="Z38" s="196"/>
      <c r="AA38" s="196">
        <v>63.238559636992974</v>
      </c>
    </row>
    <row r="39" spans="1:27" x14ac:dyDescent="0.25">
      <c r="A39" s="6" t="str">
        <f t="shared" si="0"/>
        <v>ago - oct2012</v>
      </c>
      <c r="B39" s="198">
        <v>2012</v>
      </c>
      <c r="C39" s="197" t="s">
        <v>167</v>
      </c>
      <c r="D39" s="196"/>
      <c r="E39" s="196">
        <v>7889.4022450153443</v>
      </c>
      <c r="F39" s="196"/>
      <c r="G39" s="196">
        <v>1944.0658455536277</v>
      </c>
      <c r="H39" s="196"/>
      <c r="I39" s="196">
        <v>331.47651881487837</v>
      </c>
      <c r="J39" s="196"/>
      <c r="K39" s="196">
        <v>1516.1455464122387</v>
      </c>
      <c r="L39" s="191"/>
      <c r="M39" s="196">
        <v>96.443780326510918</v>
      </c>
      <c r="N39" s="196"/>
      <c r="O39" s="196">
        <v>5945.3363994617166</v>
      </c>
      <c r="P39" s="196"/>
      <c r="Q39" s="196">
        <v>5601.0956501841029</v>
      </c>
      <c r="R39" s="196"/>
      <c r="S39" s="196">
        <v>4745.0788571272979</v>
      </c>
      <c r="T39" s="196"/>
      <c r="U39" s="196">
        <v>856.01679305680557</v>
      </c>
      <c r="V39" s="196"/>
      <c r="W39" s="196">
        <v>344.2407492776133</v>
      </c>
      <c r="X39" s="196"/>
      <c r="Y39" s="196">
        <v>283.45360171955542</v>
      </c>
      <c r="Z39" s="196"/>
      <c r="AA39" s="196">
        <v>60.787147558057839</v>
      </c>
    </row>
    <row r="40" spans="1:27" x14ac:dyDescent="0.25">
      <c r="A40" s="6" t="str">
        <f t="shared" ref="A40:A71" si="1">+LOWER(C40)&amp;B40</f>
        <v>sep - nov2012</v>
      </c>
      <c r="B40" s="198">
        <v>2012</v>
      </c>
      <c r="C40" s="197" t="s">
        <v>166</v>
      </c>
      <c r="D40" s="196"/>
      <c r="E40" s="196">
        <v>7924.5935817770478</v>
      </c>
      <c r="F40" s="196"/>
      <c r="G40" s="196">
        <v>1929.4910667249485</v>
      </c>
      <c r="H40" s="196"/>
      <c r="I40" s="196">
        <v>340.80083292105752</v>
      </c>
      <c r="J40" s="196"/>
      <c r="K40" s="196">
        <v>1486.1664976075233</v>
      </c>
      <c r="L40" s="191"/>
      <c r="M40" s="196">
        <v>102.52373619636771</v>
      </c>
      <c r="N40" s="196"/>
      <c r="O40" s="196">
        <v>5995.1025150520991</v>
      </c>
      <c r="P40" s="196"/>
      <c r="Q40" s="196">
        <v>5651.9968845080493</v>
      </c>
      <c r="R40" s="196"/>
      <c r="S40" s="196">
        <v>4799.4291514724455</v>
      </c>
      <c r="T40" s="196"/>
      <c r="U40" s="196">
        <v>852.56773303560317</v>
      </c>
      <c r="V40" s="196"/>
      <c r="W40" s="196">
        <v>343.10563054404986</v>
      </c>
      <c r="X40" s="196"/>
      <c r="Y40" s="196">
        <v>289.2808283475382</v>
      </c>
      <c r="Z40" s="196"/>
      <c r="AA40" s="196">
        <v>53.824802196511612</v>
      </c>
    </row>
    <row r="41" spans="1:27" x14ac:dyDescent="0.25">
      <c r="A41" s="6" t="str">
        <f t="shared" si="1"/>
        <v>oct - dic2012</v>
      </c>
      <c r="B41" s="198">
        <v>2012</v>
      </c>
      <c r="C41" s="197" t="s">
        <v>165</v>
      </c>
      <c r="D41" s="196"/>
      <c r="E41" s="196">
        <v>7952.2570881446482</v>
      </c>
      <c r="F41" s="196"/>
      <c r="G41" s="196">
        <v>1892.2636667778947</v>
      </c>
      <c r="H41" s="196"/>
      <c r="I41" s="196">
        <v>342.33341444527053</v>
      </c>
      <c r="J41" s="196"/>
      <c r="K41" s="196">
        <v>1443.4641423175185</v>
      </c>
      <c r="L41" s="191"/>
      <c r="M41" s="196">
        <v>106.46611001510587</v>
      </c>
      <c r="N41" s="196"/>
      <c r="O41" s="196">
        <v>6059.993421366753</v>
      </c>
      <c r="P41" s="196"/>
      <c r="Q41" s="196">
        <v>5717.7755947199603</v>
      </c>
      <c r="R41" s="196"/>
      <c r="S41" s="196">
        <v>4867.0351744855707</v>
      </c>
      <c r="T41" s="196"/>
      <c r="U41" s="196">
        <v>850.74042023438903</v>
      </c>
      <c r="V41" s="196"/>
      <c r="W41" s="196">
        <v>342.21782664679318</v>
      </c>
      <c r="X41" s="196"/>
      <c r="Y41" s="196">
        <v>294.58511726285809</v>
      </c>
      <c r="Z41" s="196"/>
      <c r="AA41" s="196">
        <v>47.632709383935108</v>
      </c>
    </row>
    <row r="42" spans="1:27" x14ac:dyDescent="0.25">
      <c r="A42" s="6" t="str">
        <f t="shared" si="1"/>
        <v>nov - ene2012</v>
      </c>
      <c r="B42" s="198">
        <v>2012</v>
      </c>
      <c r="C42" s="197" t="s">
        <v>164</v>
      </c>
      <c r="D42" s="196"/>
      <c r="E42" s="196">
        <v>7998.6297588403922</v>
      </c>
      <c r="F42" s="196"/>
      <c r="G42" s="196">
        <v>1850.4675124363084</v>
      </c>
      <c r="H42" s="196"/>
      <c r="I42" s="196">
        <v>322.36417195029736</v>
      </c>
      <c r="J42" s="196"/>
      <c r="K42" s="196">
        <v>1424.4158889842638</v>
      </c>
      <c r="L42" s="191"/>
      <c r="M42" s="196">
        <v>103.6874515017472</v>
      </c>
      <c r="N42" s="196"/>
      <c r="O42" s="196">
        <v>6148.1622464040847</v>
      </c>
      <c r="P42" s="196"/>
      <c r="Q42" s="196">
        <v>5805.6322034073119</v>
      </c>
      <c r="R42" s="196"/>
      <c r="S42" s="196">
        <v>4959.4796878420266</v>
      </c>
      <c r="T42" s="196"/>
      <c r="U42" s="196">
        <v>846.1525155652854</v>
      </c>
      <c r="V42" s="196"/>
      <c r="W42" s="196">
        <v>342.53004299677252</v>
      </c>
      <c r="X42" s="196"/>
      <c r="Y42" s="196">
        <v>289.21417083666216</v>
      </c>
      <c r="Z42" s="196"/>
      <c r="AA42" s="196">
        <v>53.315872160110303</v>
      </c>
    </row>
    <row r="43" spans="1:27" x14ac:dyDescent="0.25">
      <c r="A43" s="6" t="str">
        <f t="shared" si="1"/>
        <v>dic - feb2013</v>
      </c>
      <c r="B43" s="198">
        <v>2013</v>
      </c>
      <c r="C43" s="199" t="s">
        <v>163</v>
      </c>
      <c r="D43" s="196"/>
      <c r="E43" s="196">
        <v>7993.2969944824881</v>
      </c>
      <c r="F43" s="196"/>
      <c r="G43" s="196">
        <v>1818.2596293703405</v>
      </c>
      <c r="H43" s="196"/>
      <c r="I43" s="196">
        <v>319.26299848361606</v>
      </c>
      <c r="J43" s="196"/>
      <c r="K43" s="196">
        <v>1400.4180108859148</v>
      </c>
      <c r="L43" s="191"/>
      <c r="M43" s="196">
        <v>98.578620000809565</v>
      </c>
      <c r="N43" s="196"/>
      <c r="O43" s="196">
        <v>6175.0373651121481</v>
      </c>
      <c r="P43" s="196"/>
      <c r="Q43" s="196">
        <v>5838.4454099249724</v>
      </c>
      <c r="R43" s="196"/>
      <c r="S43" s="196">
        <v>4989.3538285588411</v>
      </c>
      <c r="T43" s="196"/>
      <c r="U43" s="196">
        <v>849.091581366132</v>
      </c>
      <c r="V43" s="196"/>
      <c r="W43" s="196">
        <v>336.59195518717524</v>
      </c>
      <c r="X43" s="196"/>
      <c r="Y43" s="196">
        <v>280.16249464926261</v>
      </c>
      <c r="Z43" s="196"/>
      <c r="AA43" s="196">
        <v>56.42946053791259</v>
      </c>
    </row>
    <row r="44" spans="1:27" x14ac:dyDescent="0.25">
      <c r="A44" s="6" t="str">
        <f t="shared" si="1"/>
        <v>ene - mar2013</v>
      </c>
      <c r="B44" s="198">
        <v>2013</v>
      </c>
      <c r="C44" s="197" t="s">
        <v>162</v>
      </c>
      <c r="D44" s="196"/>
      <c r="E44" s="196">
        <v>7990.6858485859875</v>
      </c>
      <c r="F44" s="196"/>
      <c r="G44" s="196">
        <v>1849.8662400676285</v>
      </c>
      <c r="H44" s="196"/>
      <c r="I44" s="196">
        <v>323.0072053201215</v>
      </c>
      <c r="J44" s="196"/>
      <c r="K44" s="196">
        <v>1429.59523851779</v>
      </c>
      <c r="L44" s="191"/>
      <c r="M44" s="196">
        <v>97.263796229716817</v>
      </c>
      <c r="N44" s="196"/>
      <c r="O44" s="196">
        <v>6140.819608518359</v>
      </c>
      <c r="P44" s="196"/>
      <c r="Q44" s="196">
        <v>5811.8508720510054</v>
      </c>
      <c r="R44" s="196"/>
      <c r="S44" s="196">
        <v>4982.1644256029822</v>
      </c>
      <c r="T44" s="196"/>
      <c r="U44" s="196">
        <v>829.68644644802282</v>
      </c>
      <c r="V44" s="196"/>
      <c r="W44" s="196">
        <v>328.96873646735452</v>
      </c>
      <c r="X44" s="196"/>
      <c r="Y44" s="196">
        <v>272.08861627738577</v>
      </c>
      <c r="Z44" s="196"/>
      <c r="AA44" s="196">
        <v>56.880120189968729</v>
      </c>
    </row>
    <row r="45" spans="1:27" x14ac:dyDescent="0.25">
      <c r="A45" s="6" t="str">
        <f t="shared" si="1"/>
        <v>feb - abr2013</v>
      </c>
      <c r="B45" s="198">
        <v>2013</v>
      </c>
      <c r="C45" s="197" t="s">
        <v>173</v>
      </c>
      <c r="D45" s="196"/>
      <c r="E45" s="196">
        <v>8019.0665484377332</v>
      </c>
      <c r="F45" s="196"/>
      <c r="G45" s="196">
        <v>1878.2327711019238</v>
      </c>
      <c r="H45" s="196"/>
      <c r="I45" s="196">
        <v>325.8025391090481</v>
      </c>
      <c r="J45" s="196"/>
      <c r="K45" s="196">
        <v>1448.6100719968567</v>
      </c>
      <c r="L45" s="191"/>
      <c r="M45" s="196">
        <v>103.82015999601919</v>
      </c>
      <c r="N45" s="196"/>
      <c r="O45" s="196">
        <v>6140.8337773358098</v>
      </c>
      <c r="P45" s="196"/>
      <c r="Q45" s="196">
        <v>5800.1190409304209</v>
      </c>
      <c r="R45" s="196"/>
      <c r="S45" s="196">
        <v>4966.0965638336756</v>
      </c>
      <c r="T45" s="196"/>
      <c r="U45" s="196">
        <v>834.02247709674555</v>
      </c>
      <c r="V45" s="196"/>
      <c r="W45" s="196">
        <v>340.71473640538824</v>
      </c>
      <c r="X45" s="196"/>
      <c r="Y45" s="196">
        <v>275.92346168840544</v>
      </c>
      <c r="Z45" s="196"/>
      <c r="AA45" s="196">
        <v>64.791274716982784</v>
      </c>
    </row>
    <row r="46" spans="1:27" x14ac:dyDescent="0.25">
      <c r="A46" s="6" t="str">
        <f t="shared" si="1"/>
        <v>mar - may2013</v>
      </c>
      <c r="B46" s="198">
        <v>2013</v>
      </c>
      <c r="C46" s="197" t="s">
        <v>172</v>
      </c>
      <c r="D46" s="196"/>
      <c r="E46" s="196">
        <v>8018.2693896362325</v>
      </c>
      <c r="F46" s="196"/>
      <c r="G46" s="196">
        <v>1910.1315715960243</v>
      </c>
      <c r="H46" s="196"/>
      <c r="I46" s="196">
        <v>336.58121519968955</v>
      </c>
      <c r="J46" s="196"/>
      <c r="K46" s="196">
        <v>1472.3611619913115</v>
      </c>
      <c r="L46" s="191"/>
      <c r="M46" s="196">
        <v>101.18919440502337</v>
      </c>
      <c r="N46" s="196"/>
      <c r="O46" s="196">
        <v>6108.137818040208</v>
      </c>
      <c r="P46" s="196"/>
      <c r="Q46" s="196">
        <v>5765.3276026392741</v>
      </c>
      <c r="R46" s="196"/>
      <c r="S46" s="196">
        <v>4940.4891974522761</v>
      </c>
      <c r="T46" s="196"/>
      <c r="U46" s="196">
        <v>824.83840518699844</v>
      </c>
      <c r="V46" s="196"/>
      <c r="W46" s="196">
        <v>342.810215400934</v>
      </c>
      <c r="X46" s="196"/>
      <c r="Y46" s="196">
        <v>276.70191224936428</v>
      </c>
      <c r="Z46" s="196"/>
      <c r="AA46" s="196">
        <v>66.108303151569658</v>
      </c>
    </row>
    <row r="47" spans="1:27" x14ac:dyDescent="0.25">
      <c r="A47" s="6" t="str">
        <f t="shared" si="1"/>
        <v>abr - jun2013</v>
      </c>
      <c r="B47" s="198">
        <v>2013</v>
      </c>
      <c r="C47" s="197" t="s">
        <v>171</v>
      </c>
      <c r="D47" s="196"/>
      <c r="E47" s="196">
        <v>8004.2458917220838</v>
      </c>
      <c r="F47" s="196"/>
      <c r="G47" s="196">
        <v>1922.4138570188231</v>
      </c>
      <c r="H47" s="196"/>
      <c r="I47" s="196">
        <v>336.58196693369644</v>
      </c>
      <c r="J47" s="196"/>
      <c r="K47" s="196">
        <v>1489.451158287465</v>
      </c>
      <c r="L47" s="191"/>
      <c r="M47" s="196">
        <v>96.380731797661753</v>
      </c>
      <c r="N47" s="196"/>
      <c r="O47" s="196">
        <v>6081.8320347032613</v>
      </c>
      <c r="P47" s="196"/>
      <c r="Q47" s="196">
        <v>5730.3787196856811</v>
      </c>
      <c r="R47" s="196"/>
      <c r="S47" s="196">
        <v>4895.2952322206929</v>
      </c>
      <c r="T47" s="196"/>
      <c r="U47" s="196">
        <v>835.08348746498905</v>
      </c>
      <c r="V47" s="196"/>
      <c r="W47" s="196">
        <v>351.45331501757937</v>
      </c>
      <c r="X47" s="196"/>
      <c r="Y47" s="196">
        <v>280.59895351817943</v>
      </c>
      <c r="Z47" s="196"/>
      <c r="AA47" s="196">
        <v>70.854361499399943</v>
      </c>
    </row>
    <row r="48" spans="1:27" x14ac:dyDescent="0.25">
      <c r="A48" s="6" t="str">
        <f t="shared" si="1"/>
        <v>may - jul2013</v>
      </c>
      <c r="B48" s="198">
        <v>2013</v>
      </c>
      <c r="C48" s="197" t="s">
        <v>170</v>
      </c>
      <c r="D48" s="196"/>
      <c r="E48" s="196">
        <v>7986.8151947830838</v>
      </c>
      <c r="F48" s="196"/>
      <c r="G48" s="196">
        <v>1932.0994554541139</v>
      </c>
      <c r="H48" s="196"/>
      <c r="I48" s="196">
        <v>337.82453806384513</v>
      </c>
      <c r="J48" s="196"/>
      <c r="K48" s="196">
        <v>1497.4756390885573</v>
      </c>
      <c r="L48" s="191"/>
      <c r="M48" s="196">
        <v>96.799278301711581</v>
      </c>
      <c r="N48" s="196"/>
      <c r="O48" s="196">
        <v>6054.7157393289699</v>
      </c>
      <c r="P48" s="196"/>
      <c r="Q48" s="196">
        <v>5710.0965416865711</v>
      </c>
      <c r="R48" s="196"/>
      <c r="S48" s="196">
        <v>4870.2056907241868</v>
      </c>
      <c r="T48" s="196"/>
      <c r="U48" s="196">
        <v>839.89085096238364</v>
      </c>
      <c r="V48" s="196"/>
      <c r="W48" s="196">
        <v>344.61919764239968</v>
      </c>
      <c r="X48" s="196"/>
      <c r="Y48" s="196">
        <v>273.44841320251965</v>
      </c>
      <c r="Z48" s="196"/>
      <c r="AA48" s="196">
        <v>71.170784439880023</v>
      </c>
    </row>
    <row r="49" spans="1:27" x14ac:dyDescent="0.25">
      <c r="A49" s="6" t="str">
        <f t="shared" si="1"/>
        <v>jun - ago2013</v>
      </c>
      <c r="B49" s="198">
        <v>2013</v>
      </c>
      <c r="C49" s="197" t="s">
        <v>169</v>
      </c>
      <c r="D49" s="196"/>
      <c r="E49" s="196">
        <v>8008.5767775869126</v>
      </c>
      <c r="F49" s="196"/>
      <c r="G49" s="196">
        <v>1960.2009036900536</v>
      </c>
      <c r="H49" s="196"/>
      <c r="I49" s="196">
        <v>346.22614443376852</v>
      </c>
      <c r="J49" s="196"/>
      <c r="K49" s="196">
        <v>1513.899855086883</v>
      </c>
      <c r="L49" s="191"/>
      <c r="M49" s="196">
        <v>100.07490416940196</v>
      </c>
      <c r="N49" s="196"/>
      <c r="O49" s="196">
        <v>6048.375873896859</v>
      </c>
      <c r="P49" s="196"/>
      <c r="Q49" s="196">
        <v>5711.963240434723</v>
      </c>
      <c r="R49" s="196"/>
      <c r="S49" s="196">
        <v>4858.9016844703874</v>
      </c>
      <c r="T49" s="196"/>
      <c r="U49" s="196">
        <v>853.06155596433575</v>
      </c>
      <c r="V49" s="196"/>
      <c r="W49" s="196">
        <v>336.41263346213589</v>
      </c>
      <c r="X49" s="196"/>
      <c r="Y49" s="196">
        <v>271.21015137071885</v>
      </c>
      <c r="Z49" s="196"/>
      <c r="AA49" s="196">
        <v>65.202482091417096</v>
      </c>
    </row>
    <row r="50" spans="1:27" x14ac:dyDescent="0.25">
      <c r="A50" s="6" t="str">
        <f t="shared" si="1"/>
        <v>jul - sep2013</v>
      </c>
      <c r="B50" s="198">
        <v>2013</v>
      </c>
      <c r="C50" s="197" t="s">
        <v>168</v>
      </c>
      <c r="D50" s="196"/>
      <c r="E50" s="196">
        <v>8010.842600078292</v>
      </c>
      <c r="F50" s="196"/>
      <c r="G50" s="196">
        <v>1975.3920786541655</v>
      </c>
      <c r="H50" s="196"/>
      <c r="I50" s="196">
        <v>342.62660901602061</v>
      </c>
      <c r="J50" s="196"/>
      <c r="K50" s="196">
        <v>1524.5298638499398</v>
      </c>
      <c r="L50" s="191"/>
      <c r="M50" s="196">
        <v>108.23560578820521</v>
      </c>
      <c r="N50" s="196"/>
      <c r="O50" s="196">
        <v>6035.4505214241271</v>
      </c>
      <c r="P50" s="196"/>
      <c r="Q50" s="196">
        <v>5701.6195827599831</v>
      </c>
      <c r="R50" s="196"/>
      <c r="S50" s="196">
        <v>4840.2529223067613</v>
      </c>
      <c r="T50" s="196"/>
      <c r="U50" s="196">
        <v>861.36666045322204</v>
      </c>
      <c r="V50" s="196"/>
      <c r="W50" s="196">
        <v>333.83093866414362</v>
      </c>
      <c r="X50" s="196"/>
      <c r="Y50" s="196">
        <v>267.68960182079178</v>
      </c>
      <c r="Z50" s="196"/>
      <c r="AA50" s="196">
        <v>66.141336843351823</v>
      </c>
    </row>
    <row r="51" spans="1:27" x14ac:dyDescent="0.25">
      <c r="A51" s="6" t="str">
        <f t="shared" si="1"/>
        <v>ago - oct2013</v>
      </c>
      <c r="B51" s="198">
        <v>2013</v>
      </c>
      <c r="C51" s="197" t="s">
        <v>167</v>
      </c>
      <c r="D51" s="196"/>
      <c r="E51" s="196">
        <v>8029.597367545407</v>
      </c>
      <c r="F51" s="196"/>
      <c r="G51" s="196">
        <v>1980.5648363814073</v>
      </c>
      <c r="H51" s="196"/>
      <c r="I51" s="196">
        <v>337.02051490466357</v>
      </c>
      <c r="J51" s="196"/>
      <c r="K51" s="196">
        <v>1538.0293287342727</v>
      </c>
      <c r="L51" s="191"/>
      <c r="M51" s="196">
        <v>105.51499274247099</v>
      </c>
      <c r="N51" s="196"/>
      <c r="O51" s="196">
        <v>6049.0325311639999</v>
      </c>
      <c r="P51" s="196"/>
      <c r="Q51" s="196">
        <v>5720.8667081883032</v>
      </c>
      <c r="R51" s="196"/>
      <c r="S51" s="196">
        <v>4827.3907752482455</v>
      </c>
      <c r="T51" s="196"/>
      <c r="U51" s="196">
        <v>893.47593294005685</v>
      </c>
      <c r="V51" s="196"/>
      <c r="W51" s="196">
        <v>328.16582297569727</v>
      </c>
      <c r="X51" s="196"/>
      <c r="Y51" s="196">
        <v>259.72259791296909</v>
      </c>
      <c r="Z51" s="196"/>
      <c r="AA51" s="196">
        <v>68.443225062728217</v>
      </c>
    </row>
    <row r="52" spans="1:27" x14ac:dyDescent="0.25">
      <c r="A52" s="6" t="str">
        <f t="shared" si="1"/>
        <v>sep - nov2013</v>
      </c>
      <c r="B52" s="198">
        <v>2013</v>
      </c>
      <c r="C52" s="197" t="s">
        <v>166</v>
      </c>
      <c r="D52" s="196"/>
      <c r="E52" s="196">
        <v>8067.1273969989052</v>
      </c>
      <c r="F52" s="196"/>
      <c r="G52" s="196">
        <v>1982.3840385443991</v>
      </c>
      <c r="H52" s="196"/>
      <c r="I52" s="196">
        <v>335.4300181014367</v>
      </c>
      <c r="J52" s="196"/>
      <c r="K52" s="196">
        <v>1541.3550722302125</v>
      </c>
      <c r="L52" s="191"/>
      <c r="M52" s="196">
        <v>105.59894821275003</v>
      </c>
      <c r="N52" s="196"/>
      <c r="O52" s="196">
        <v>6084.743358454507</v>
      </c>
      <c r="P52" s="196"/>
      <c r="Q52" s="196">
        <v>5757.6968801879857</v>
      </c>
      <c r="R52" s="196"/>
      <c r="S52" s="196">
        <v>4867.9323544272747</v>
      </c>
      <c r="T52" s="196"/>
      <c r="U52" s="196">
        <v>889.7645257607104</v>
      </c>
      <c r="V52" s="196"/>
      <c r="W52" s="196">
        <v>327.04647826652183</v>
      </c>
      <c r="X52" s="196"/>
      <c r="Y52" s="196">
        <v>254.8315569901504</v>
      </c>
      <c r="Z52" s="196"/>
      <c r="AA52" s="196">
        <v>72.214921276371413</v>
      </c>
    </row>
    <row r="53" spans="1:27" x14ac:dyDescent="0.25">
      <c r="A53" s="6" t="str">
        <f t="shared" si="1"/>
        <v>oct - dic2013</v>
      </c>
      <c r="B53" s="198">
        <v>2013</v>
      </c>
      <c r="C53" s="197" t="s">
        <v>165</v>
      </c>
      <c r="D53" s="196"/>
      <c r="E53" s="196">
        <v>8149.3890562756787</v>
      </c>
      <c r="F53" s="196"/>
      <c r="G53" s="196">
        <v>1984.8220847576995</v>
      </c>
      <c r="H53" s="196"/>
      <c r="I53" s="196">
        <v>350.29598604267971</v>
      </c>
      <c r="J53" s="196"/>
      <c r="K53" s="196">
        <v>1528.1866029167124</v>
      </c>
      <c r="L53" s="191"/>
      <c r="M53" s="196">
        <v>106.33949579830724</v>
      </c>
      <c r="N53" s="196"/>
      <c r="O53" s="196">
        <v>6164.5669715179802</v>
      </c>
      <c r="P53" s="196"/>
      <c r="Q53" s="196">
        <v>5838.96775441926</v>
      </c>
      <c r="R53" s="196"/>
      <c r="S53" s="196">
        <v>4945.0150683383426</v>
      </c>
      <c r="T53" s="196"/>
      <c r="U53" s="196">
        <v>893.95268608091737</v>
      </c>
      <c r="V53" s="196"/>
      <c r="W53" s="196">
        <v>325.59921709871986</v>
      </c>
      <c r="X53" s="196"/>
      <c r="Y53" s="196">
        <v>251.42360001480824</v>
      </c>
      <c r="Z53" s="196"/>
      <c r="AA53" s="196">
        <v>74.175617083911646</v>
      </c>
    </row>
    <row r="54" spans="1:27" x14ac:dyDescent="0.25">
      <c r="A54" s="6" t="str">
        <f t="shared" si="1"/>
        <v>nov - ene2013</v>
      </c>
      <c r="B54" s="198">
        <v>2013</v>
      </c>
      <c r="C54" s="197" t="s">
        <v>164</v>
      </c>
      <c r="D54" s="196"/>
      <c r="E54" s="196">
        <v>8170.9606102825192</v>
      </c>
      <c r="F54" s="196"/>
      <c r="G54" s="196">
        <v>1964.5551905502</v>
      </c>
      <c r="H54" s="196"/>
      <c r="I54" s="196">
        <v>345.27850857292492</v>
      </c>
      <c r="J54" s="196"/>
      <c r="K54" s="196">
        <v>1506.7474933828814</v>
      </c>
      <c r="L54" s="191"/>
      <c r="M54" s="196">
        <v>112.52918859439374</v>
      </c>
      <c r="N54" s="196"/>
      <c r="O54" s="196">
        <v>6206.4054197323194</v>
      </c>
      <c r="P54" s="196"/>
      <c r="Q54" s="196">
        <v>5882.9458281086318</v>
      </c>
      <c r="R54" s="196"/>
      <c r="S54" s="196">
        <v>5012.1650244319726</v>
      </c>
      <c r="T54" s="196"/>
      <c r="U54" s="196">
        <v>870.78080367665962</v>
      </c>
      <c r="V54" s="196"/>
      <c r="W54" s="196">
        <v>323.459591623687</v>
      </c>
      <c r="X54" s="196"/>
      <c r="Y54" s="196">
        <v>250.65094759249905</v>
      </c>
      <c r="Z54" s="196"/>
      <c r="AA54" s="196">
        <v>72.808644031187924</v>
      </c>
    </row>
    <row r="55" spans="1:27" x14ac:dyDescent="0.25">
      <c r="A55" s="6" t="str">
        <f t="shared" si="1"/>
        <v>dic - feb2014</v>
      </c>
      <c r="B55" s="198">
        <v>2014</v>
      </c>
      <c r="C55" s="199" t="s">
        <v>163</v>
      </c>
      <c r="D55" s="196"/>
      <c r="E55" s="196">
        <v>8202.8897930726307</v>
      </c>
      <c r="F55" s="196"/>
      <c r="G55" s="196">
        <v>1971.9608633123332</v>
      </c>
      <c r="H55" s="196"/>
      <c r="I55" s="196">
        <v>348.45400585950051</v>
      </c>
      <c r="J55" s="196"/>
      <c r="K55" s="196">
        <v>1511.789805466334</v>
      </c>
      <c r="L55" s="191"/>
      <c r="M55" s="196">
        <v>111.71705198649877</v>
      </c>
      <c r="N55" s="196"/>
      <c r="O55" s="196">
        <v>6230.9289297602982</v>
      </c>
      <c r="P55" s="196"/>
      <c r="Q55" s="196">
        <v>5906.631147548911</v>
      </c>
      <c r="R55" s="196"/>
      <c r="S55" s="196">
        <v>5034.1145206628908</v>
      </c>
      <c r="T55" s="196"/>
      <c r="U55" s="196">
        <v>872.5166268860205</v>
      </c>
      <c r="V55" s="196"/>
      <c r="W55" s="196">
        <v>324.29778221138645</v>
      </c>
      <c r="X55" s="196"/>
      <c r="Y55" s="196">
        <v>257.65838350796139</v>
      </c>
      <c r="Z55" s="196"/>
      <c r="AA55" s="196">
        <v>66.639398703425016</v>
      </c>
    </row>
    <row r="56" spans="1:27" x14ac:dyDescent="0.25">
      <c r="A56" s="6" t="str">
        <f t="shared" si="1"/>
        <v>ene - mar2014</v>
      </c>
      <c r="B56" s="198">
        <v>2014</v>
      </c>
      <c r="C56" s="197" t="s">
        <v>162</v>
      </c>
      <c r="D56" s="196"/>
      <c r="E56" s="196">
        <v>8156.1959971115411</v>
      </c>
      <c r="F56" s="196"/>
      <c r="G56" s="196">
        <v>1980.2835338941527</v>
      </c>
      <c r="H56" s="196"/>
      <c r="I56" s="196">
        <v>337.04747138577994</v>
      </c>
      <c r="J56" s="196"/>
      <c r="K56" s="196">
        <v>1530.5347973189587</v>
      </c>
      <c r="L56" s="191"/>
      <c r="M56" s="196">
        <v>112.70126518941393</v>
      </c>
      <c r="N56" s="196"/>
      <c r="O56" s="196">
        <v>6175.9124632173889</v>
      </c>
      <c r="P56" s="196"/>
      <c r="Q56" s="196">
        <v>5849.9954568099965</v>
      </c>
      <c r="R56" s="196"/>
      <c r="S56" s="196">
        <v>4983.5675704914247</v>
      </c>
      <c r="T56" s="196"/>
      <c r="U56" s="196">
        <v>866.42788631857161</v>
      </c>
      <c r="V56" s="196"/>
      <c r="W56" s="196">
        <v>325.9170064073918</v>
      </c>
      <c r="X56" s="196"/>
      <c r="Y56" s="196">
        <v>263.56732749742162</v>
      </c>
      <c r="Z56" s="196"/>
      <c r="AA56" s="196">
        <v>62.349678909970237</v>
      </c>
    </row>
    <row r="57" spans="1:27" x14ac:dyDescent="0.25">
      <c r="A57" s="6" t="str">
        <f t="shared" si="1"/>
        <v>feb - abr2014</v>
      </c>
      <c r="B57" s="198">
        <v>2014</v>
      </c>
      <c r="C57" s="197" t="s">
        <v>173</v>
      </c>
      <c r="D57" s="196"/>
      <c r="E57" s="196">
        <v>8181.3091599605405</v>
      </c>
      <c r="F57" s="196"/>
      <c r="G57" s="196">
        <v>2029.799746256755</v>
      </c>
      <c r="H57" s="196"/>
      <c r="I57" s="196">
        <v>336.57871889263851</v>
      </c>
      <c r="J57" s="196"/>
      <c r="K57" s="196">
        <v>1588.5957037804224</v>
      </c>
      <c r="L57" s="191"/>
      <c r="M57" s="196">
        <v>104.62532358369388</v>
      </c>
      <c r="N57" s="196"/>
      <c r="O57" s="196">
        <v>6151.509413703785</v>
      </c>
      <c r="P57" s="196"/>
      <c r="Q57" s="196">
        <v>5826.7071904324421</v>
      </c>
      <c r="R57" s="196"/>
      <c r="S57" s="196">
        <v>4941.9725104575855</v>
      </c>
      <c r="T57" s="196"/>
      <c r="U57" s="196">
        <v>884.73467997485659</v>
      </c>
      <c r="V57" s="196"/>
      <c r="W57" s="196">
        <v>324.80222327134311</v>
      </c>
      <c r="X57" s="196"/>
      <c r="Y57" s="196">
        <v>264.79064237102722</v>
      </c>
      <c r="Z57" s="196"/>
      <c r="AA57" s="196">
        <v>60.011580900315863</v>
      </c>
    </row>
    <row r="58" spans="1:27" x14ac:dyDescent="0.25">
      <c r="A58" s="6" t="str">
        <f t="shared" si="1"/>
        <v>mar - may2014</v>
      </c>
      <c r="B58" s="198">
        <v>2014</v>
      </c>
      <c r="C58" s="197" t="s">
        <v>172</v>
      </c>
      <c r="D58" s="196"/>
      <c r="E58" s="196">
        <v>8155.9710294213373</v>
      </c>
      <c r="F58" s="196"/>
      <c r="G58" s="196">
        <v>2044.7082593452692</v>
      </c>
      <c r="H58" s="196"/>
      <c r="I58" s="196">
        <v>332.18534344121701</v>
      </c>
      <c r="J58" s="196"/>
      <c r="K58" s="196">
        <v>1606.1083474246611</v>
      </c>
      <c r="L58" s="191"/>
      <c r="M58" s="196">
        <v>106.41456847939118</v>
      </c>
      <c r="N58" s="196"/>
      <c r="O58" s="196">
        <v>6111.2627700760668</v>
      </c>
      <c r="P58" s="196"/>
      <c r="Q58" s="196">
        <v>5774.8254518204767</v>
      </c>
      <c r="R58" s="196"/>
      <c r="S58" s="196">
        <v>4879.6246358767148</v>
      </c>
      <c r="T58" s="196"/>
      <c r="U58" s="196">
        <v>895.20081594376177</v>
      </c>
      <c r="V58" s="196"/>
      <c r="W58" s="196">
        <v>336.43731825559036</v>
      </c>
      <c r="X58" s="196"/>
      <c r="Y58" s="196">
        <v>272.28596849943068</v>
      </c>
      <c r="Z58" s="196"/>
      <c r="AA58" s="196">
        <v>64.151349756159618</v>
      </c>
    </row>
    <row r="59" spans="1:27" x14ac:dyDescent="0.25">
      <c r="A59" s="6" t="str">
        <f t="shared" si="1"/>
        <v>abr - jun2014</v>
      </c>
      <c r="B59" s="198">
        <v>2014</v>
      </c>
      <c r="C59" s="197" t="s">
        <v>171</v>
      </c>
      <c r="D59" s="196"/>
      <c r="E59" s="196">
        <v>8120.4365313272538</v>
      </c>
      <c r="F59" s="196"/>
      <c r="G59" s="196">
        <v>2037.9150973626731</v>
      </c>
      <c r="H59" s="196"/>
      <c r="I59" s="196">
        <v>329.34250606339651</v>
      </c>
      <c r="J59" s="196"/>
      <c r="K59" s="196">
        <v>1604.5925115806476</v>
      </c>
      <c r="L59" s="191"/>
      <c r="M59" s="196">
        <v>103.98007971862897</v>
      </c>
      <c r="N59" s="196"/>
      <c r="O59" s="196">
        <v>6082.5214339645809</v>
      </c>
      <c r="P59" s="196"/>
      <c r="Q59" s="196">
        <v>5743.4063724052858</v>
      </c>
      <c r="R59" s="196"/>
      <c r="S59" s="196">
        <v>4837.0491924957078</v>
      </c>
      <c r="T59" s="196"/>
      <c r="U59" s="196">
        <v>906.35717990957846</v>
      </c>
      <c r="V59" s="196"/>
      <c r="W59" s="196">
        <v>339.1150615592955</v>
      </c>
      <c r="X59" s="196"/>
      <c r="Y59" s="196">
        <v>274.23821381868021</v>
      </c>
      <c r="Z59" s="196"/>
      <c r="AA59" s="196">
        <v>64.876847740615318</v>
      </c>
    </row>
    <row r="60" spans="1:27" x14ac:dyDescent="0.25">
      <c r="A60" s="6" t="str">
        <f t="shared" si="1"/>
        <v>may - jul2014</v>
      </c>
      <c r="B60" s="198">
        <v>2014</v>
      </c>
      <c r="C60" s="197" t="s">
        <v>170</v>
      </c>
      <c r="D60" s="196"/>
      <c r="E60" s="196">
        <v>8084.9925288596951</v>
      </c>
      <c r="F60" s="196"/>
      <c r="G60" s="196">
        <v>2001.0417320004815</v>
      </c>
      <c r="H60" s="196"/>
      <c r="I60" s="196">
        <v>336.38353731872667</v>
      </c>
      <c r="J60" s="196"/>
      <c r="K60" s="196">
        <v>1562.2184280333772</v>
      </c>
      <c r="L60" s="191"/>
      <c r="M60" s="196">
        <v>102.43976664837773</v>
      </c>
      <c r="N60" s="196"/>
      <c r="O60" s="196">
        <v>6083.9507968592134</v>
      </c>
      <c r="P60" s="196"/>
      <c r="Q60" s="196">
        <v>5731.1866353544683</v>
      </c>
      <c r="R60" s="196"/>
      <c r="S60" s="196">
        <v>4814.8822710869945</v>
      </c>
      <c r="T60" s="196"/>
      <c r="U60" s="196">
        <v>916.30436426747463</v>
      </c>
      <c r="V60" s="196"/>
      <c r="W60" s="196">
        <v>352.76416150474466</v>
      </c>
      <c r="X60" s="196"/>
      <c r="Y60" s="196">
        <v>283.69749450303902</v>
      </c>
      <c r="Z60" s="196"/>
      <c r="AA60" s="196">
        <v>69.066667001705596</v>
      </c>
    </row>
    <row r="61" spans="1:27" x14ac:dyDescent="0.25">
      <c r="A61" s="6" t="str">
        <f t="shared" si="1"/>
        <v>jun - ago2014</v>
      </c>
      <c r="B61" s="198">
        <v>2014</v>
      </c>
      <c r="C61" s="197" t="s">
        <v>169</v>
      </c>
      <c r="D61" s="196"/>
      <c r="E61" s="196">
        <v>8044.5489513190605</v>
      </c>
      <c r="F61" s="196"/>
      <c r="G61" s="196">
        <v>1973.4857000518487</v>
      </c>
      <c r="H61" s="196"/>
      <c r="I61" s="196">
        <v>335.31485883868885</v>
      </c>
      <c r="J61" s="196"/>
      <c r="K61" s="196">
        <v>1545.8982799200728</v>
      </c>
      <c r="L61" s="191"/>
      <c r="M61" s="196">
        <v>92.272561293086909</v>
      </c>
      <c r="N61" s="196"/>
      <c r="O61" s="196">
        <v>6071.0632512672119</v>
      </c>
      <c r="P61" s="196"/>
      <c r="Q61" s="196">
        <v>5719.8111619734609</v>
      </c>
      <c r="R61" s="196"/>
      <c r="S61" s="196">
        <v>4796.5987469082693</v>
      </c>
      <c r="T61" s="196"/>
      <c r="U61" s="196">
        <v>923.21241506519186</v>
      </c>
      <c r="V61" s="196"/>
      <c r="W61" s="196">
        <v>351.25208929375083</v>
      </c>
      <c r="X61" s="196"/>
      <c r="Y61" s="196">
        <v>279.95027604106969</v>
      </c>
      <c r="Z61" s="196"/>
      <c r="AA61" s="196">
        <v>71.301813252681129</v>
      </c>
    </row>
    <row r="62" spans="1:27" x14ac:dyDescent="0.25">
      <c r="A62" s="6" t="str">
        <f t="shared" si="1"/>
        <v>jul - sep2014</v>
      </c>
      <c r="B62" s="198">
        <v>2014</v>
      </c>
      <c r="C62" s="197" t="s">
        <v>168</v>
      </c>
      <c r="D62" s="196"/>
      <c r="E62" s="196">
        <v>8088.7213955562511</v>
      </c>
      <c r="F62" s="196"/>
      <c r="G62" s="196">
        <v>2008.3038664387789</v>
      </c>
      <c r="H62" s="196"/>
      <c r="I62" s="196">
        <v>341.02915621911683</v>
      </c>
      <c r="J62" s="196"/>
      <c r="K62" s="196">
        <v>1569.1988295076276</v>
      </c>
      <c r="L62" s="191"/>
      <c r="M62" s="196">
        <v>98.075880712034632</v>
      </c>
      <c r="N62" s="196"/>
      <c r="O62" s="196">
        <v>6080.4175291174724</v>
      </c>
      <c r="P62" s="196"/>
      <c r="Q62" s="196">
        <v>5725.2580530658952</v>
      </c>
      <c r="R62" s="196"/>
      <c r="S62" s="196">
        <v>4797.3501032280401</v>
      </c>
      <c r="T62" s="196"/>
      <c r="U62" s="196">
        <v>927.90794983785577</v>
      </c>
      <c r="V62" s="196"/>
      <c r="W62" s="196">
        <v>355.15947605157714</v>
      </c>
      <c r="X62" s="196"/>
      <c r="Y62" s="196">
        <v>286.43956345197813</v>
      </c>
      <c r="Z62" s="196"/>
      <c r="AA62" s="196">
        <v>68.719912599599027</v>
      </c>
    </row>
    <row r="63" spans="1:27" x14ac:dyDescent="0.25">
      <c r="A63" s="6" t="str">
        <f t="shared" si="1"/>
        <v>ago - oct2014</v>
      </c>
      <c r="B63" s="198">
        <v>2014</v>
      </c>
      <c r="C63" s="197" t="s">
        <v>167</v>
      </c>
      <c r="D63" s="196"/>
      <c r="E63" s="196">
        <v>8137.9466656459163</v>
      </c>
      <c r="F63" s="196"/>
      <c r="G63" s="196">
        <v>2040.5622200236451</v>
      </c>
      <c r="H63" s="196"/>
      <c r="I63" s="196">
        <v>346.03845679085055</v>
      </c>
      <c r="J63" s="196"/>
      <c r="K63" s="196">
        <v>1596.4000973974419</v>
      </c>
      <c r="L63" s="191"/>
      <c r="M63" s="196">
        <v>98.123665835352611</v>
      </c>
      <c r="N63" s="196"/>
      <c r="O63" s="196">
        <v>6097.3844456222705</v>
      </c>
      <c r="P63" s="196"/>
      <c r="Q63" s="196">
        <v>5745.8015206358268</v>
      </c>
      <c r="R63" s="196"/>
      <c r="S63" s="196">
        <v>4810.7460467283354</v>
      </c>
      <c r="T63" s="196"/>
      <c r="U63" s="196">
        <v>935.05547390749109</v>
      </c>
      <c r="V63" s="196"/>
      <c r="W63" s="196">
        <v>351.58292498644386</v>
      </c>
      <c r="X63" s="196"/>
      <c r="Y63" s="196">
        <v>285.23909247641882</v>
      </c>
      <c r="Z63" s="196"/>
      <c r="AA63" s="196">
        <v>66.343832510025052</v>
      </c>
    </row>
    <row r="64" spans="1:27" x14ac:dyDescent="0.25">
      <c r="A64" s="6" t="str">
        <f t="shared" si="1"/>
        <v>sep - nov2014</v>
      </c>
      <c r="B64" s="198">
        <v>2014</v>
      </c>
      <c r="C64" s="197" t="s">
        <v>166</v>
      </c>
      <c r="D64" s="196"/>
      <c r="E64" s="196">
        <v>8207.691839743442</v>
      </c>
      <c r="F64" s="196"/>
      <c r="G64" s="196">
        <v>2074.4052967633725</v>
      </c>
      <c r="H64" s="196"/>
      <c r="I64" s="196">
        <v>347.96528259906069</v>
      </c>
      <c r="J64" s="196"/>
      <c r="K64" s="196">
        <v>1620.031234416057</v>
      </c>
      <c r="L64" s="191"/>
      <c r="M64" s="196">
        <v>106.4087797482546</v>
      </c>
      <c r="N64" s="196"/>
      <c r="O64" s="196">
        <v>6133.2865429800704</v>
      </c>
      <c r="P64" s="196"/>
      <c r="Q64" s="196">
        <v>5799.1904812372077</v>
      </c>
      <c r="R64" s="196"/>
      <c r="S64" s="196">
        <v>4876.4129490694277</v>
      </c>
      <c r="T64" s="196"/>
      <c r="U64" s="196">
        <v>922.77753216778001</v>
      </c>
      <c r="V64" s="196"/>
      <c r="W64" s="196">
        <v>334.09606174286318</v>
      </c>
      <c r="X64" s="196"/>
      <c r="Y64" s="196">
        <v>270.93849246234606</v>
      </c>
      <c r="Z64" s="196"/>
      <c r="AA64" s="196">
        <v>63.15756928051718</v>
      </c>
    </row>
    <row r="65" spans="1:27" x14ac:dyDescent="0.25">
      <c r="A65" s="6" t="str">
        <f t="shared" si="1"/>
        <v>oct - dic2014</v>
      </c>
      <c r="B65" s="198">
        <v>2014</v>
      </c>
      <c r="C65" s="197" t="s">
        <v>165</v>
      </c>
      <c r="D65" s="196"/>
      <c r="E65" s="196">
        <v>8249.6203995933192</v>
      </c>
      <c r="F65" s="196"/>
      <c r="G65" s="196">
        <v>2026.9198457685338</v>
      </c>
      <c r="H65" s="196"/>
      <c r="I65" s="196">
        <v>332.00615586344628</v>
      </c>
      <c r="J65" s="196"/>
      <c r="K65" s="196">
        <v>1593.9819503620545</v>
      </c>
      <c r="L65" s="191"/>
      <c r="M65" s="196">
        <v>100.93173954303309</v>
      </c>
      <c r="N65" s="196"/>
      <c r="O65" s="196">
        <v>6222.7005538247859</v>
      </c>
      <c r="P65" s="196"/>
      <c r="Q65" s="196">
        <v>5901.3698305670141</v>
      </c>
      <c r="R65" s="196"/>
      <c r="S65" s="196">
        <v>4961.6186203452435</v>
      </c>
      <c r="T65" s="196"/>
      <c r="U65" s="196">
        <v>939.75121022177177</v>
      </c>
      <c r="V65" s="196"/>
      <c r="W65" s="196">
        <v>321.3307232577713</v>
      </c>
      <c r="X65" s="196"/>
      <c r="Y65" s="196">
        <v>264.58400296342353</v>
      </c>
      <c r="Z65" s="196"/>
      <c r="AA65" s="196">
        <v>56.746720294347746</v>
      </c>
    </row>
    <row r="66" spans="1:27" x14ac:dyDescent="0.25">
      <c r="A66" s="6" t="str">
        <f t="shared" si="1"/>
        <v>nov - ene2014</v>
      </c>
      <c r="B66" s="198">
        <v>2014</v>
      </c>
      <c r="C66" s="197" t="s">
        <v>164</v>
      </c>
      <c r="D66" s="196"/>
      <c r="E66" s="196">
        <v>8259.1579295985266</v>
      </c>
      <c r="F66" s="196"/>
      <c r="G66" s="196">
        <v>1996.5037675306046</v>
      </c>
      <c r="H66" s="196"/>
      <c r="I66" s="196">
        <v>341.52012251607397</v>
      </c>
      <c r="J66" s="196"/>
      <c r="K66" s="196">
        <v>1549.1140671277547</v>
      </c>
      <c r="L66" s="191"/>
      <c r="M66" s="196">
        <v>105.86957788677564</v>
      </c>
      <c r="N66" s="196"/>
      <c r="O66" s="196">
        <v>6262.6541620679227</v>
      </c>
      <c r="P66" s="196"/>
      <c r="Q66" s="196">
        <v>5965.8423570005016</v>
      </c>
      <c r="R66" s="196"/>
      <c r="S66" s="196">
        <v>5022.2060148390538</v>
      </c>
      <c r="T66" s="196"/>
      <c r="U66" s="196">
        <v>943.63634216144771</v>
      </c>
      <c r="V66" s="196"/>
      <c r="W66" s="196">
        <v>296.81180506742055</v>
      </c>
      <c r="X66" s="196"/>
      <c r="Y66" s="196">
        <v>246.33854501722078</v>
      </c>
      <c r="Z66" s="196" t="s">
        <v>212</v>
      </c>
      <c r="AA66" s="196">
        <v>50.473260050199741</v>
      </c>
    </row>
    <row r="67" spans="1:27" x14ac:dyDescent="0.25">
      <c r="A67" s="6" t="str">
        <f t="shared" si="1"/>
        <v>dic - feb2015</v>
      </c>
      <c r="B67" s="198">
        <v>2015</v>
      </c>
      <c r="C67" s="199" t="s">
        <v>163</v>
      </c>
      <c r="D67" s="196"/>
      <c r="E67" s="196">
        <v>8263.0910774201675</v>
      </c>
      <c r="F67" s="196"/>
      <c r="G67" s="196">
        <v>1968.473971916992</v>
      </c>
      <c r="H67" s="196"/>
      <c r="I67" s="196">
        <v>340.72918352193739</v>
      </c>
      <c r="J67" s="196"/>
      <c r="K67" s="196">
        <v>1525.3042046148876</v>
      </c>
      <c r="L67" s="191"/>
      <c r="M67" s="196">
        <v>102.4405837801673</v>
      </c>
      <c r="N67" s="196"/>
      <c r="O67" s="196">
        <v>6294.6171055031746</v>
      </c>
      <c r="P67" s="196"/>
      <c r="Q67" s="196">
        <v>5996.1956077582781</v>
      </c>
      <c r="R67" s="196"/>
      <c r="S67" s="196">
        <v>5042.679558731691</v>
      </c>
      <c r="T67" s="196"/>
      <c r="U67" s="196">
        <v>953.51604902658687</v>
      </c>
      <c r="V67" s="196"/>
      <c r="W67" s="196">
        <v>298.42149774489701</v>
      </c>
      <c r="X67" s="196"/>
      <c r="Y67" s="196">
        <v>249.09982789185534</v>
      </c>
      <c r="Z67" s="196" t="s">
        <v>212</v>
      </c>
      <c r="AA67" s="196">
        <v>49.321669853041648</v>
      </c>
    </row>
    <row r="68" spans="1:27" x14ac:dyDescent="0.25">
      <c r="A68" s="6" t="str">
        <f t="shared" si="1"/>
        <v>ene - mar2015</v>
      </c>
      <c r="B68" s="198">
        <v>2015</v>
      </c>
      <c r="C68" s="197" t="s">
        <v>162</v>
      </c>
      <c r="D68" s="196"/>
      <c r="E68" s="196">
        <v>8232.2001626846923</v>
      </c>
      <c r="F68" s="196"/>
      <c r="G68" s="196">
        <v>1967.7736408421554</v>
      </c>
      <c r="H68" s="196"/>
      <c r="I68" s="196">
        <v>354.38533742284443</v>
      </c>
      <c r="J68" s="196"/>
      <c r="K68" s="196">
        <v>1512.903727647709</v>
      </c>
      <c r="L68" s="191"/>
      <c r="M68" s="196">
        <v>100.48457577160195</v>
      </c>
      <c r="N68" s="196"/>
      <c r="O68" s="196">
        <v>6264.4265218425362</v>
      </c>
      <c r="P68" s="196"/>
      <c r="Q68" s="196">
        <v>5972.0282254419808</v>
      </c>
      <c r="R68" s="196"/>
      <c r="S68" s="196">
        <v>5018.1695403653885</v>
      </c>
      <c r="T68" s="196"/>
      <c r="U68" s="196">
        <v>953.85868507659302</v>
      </c>
      <c r="V68" s="196"/>
      <c r="W68" s="196">
        <v>292.39829640055535</v>
      </c>
      <c r="X68" s="196"/>
      <c r="Y68" s="196">
        <v>245.28341866870781</v>
      </c>
      <c r="Z68" s="196" t="s">
        <v>212</v>
      </c>
      <c r="AA68" s="196">
        <v>47.114877731847535</v>
      </c>
    </row>
    <row r="69" spans="1:27" x14ac:dyDescent="0.25">
      <c r="A69" s="6" t="str">
        <f t="shared" si="1"/>
        <v>feb - abr2015</v>
      </c>
      <c r="B69" s="198">
        <v>2015</v>
      </c>
      <c r="C69" s="197" t="s">
        <v>173</v>
      </c>
      <c r="D69" s="196"/>
      <c r="E69" s="196">
        <v>8230.2552125793063</v>
      </c>
      <c r="F69" s="196"/>
      <c r="G69" s="196">
        <v>2001.0149064556367</v>
      </c>
      <c r="H69" s="196"/>
      <c r="I69" s="196">
        <v>349.4698694882992</v>
      </c>
      <c r="J69" s="196"/>
      <c r="K69" s="196">
        <v>1557.9933761700058</v>
      </c>
      <c r="L69" s="191"/>
      <c r="M69" s="196">
        <v>93.551660797331749</v>
      </c>
      <c r="N69" s="196"/>
      <c r="O69" s="196">
        <v>6229.2403061236691</v>
      </c>
      <c r="P69" s="196"/>
      <c r="Q69" s="196">
        <v>5918.9365252159214</v>
      </c>
      <c r="R69" s="196"/>
      <c r="S69" s="196">
        <v>4984.4750159580271</v>
      </c>
      <c r="T69" s="196"/>
      <c r="U69" s="196">
        <v>934.46150925789414</v>
      </c>
      <c r="V69" s="196"/>
      <c r="W69" s="196">
        <v>310.30378090774872</v>
      </c>
      <c r="X69" s="196"/>
      <c r="Y69" s="196">
        <v>262.31865826158094</v>
      </c>
      <c r="Z69" s="196" t="s">
        <v>212</v>
      </c>
      <c r="AA69" s="196">
        <v>47.985122646167817</v>
      </c>
    </row>
    <row r="70" spans="1:27" x14ac:dyDescent="0.25">
      <c r="A70" s="6" t="str">
        <f t="shared" si="1"/>
        <v>mar - may2015</v>
      </c>
      <c r="B70" s="198">
        <v>2015</v>
      </c>
      <c r="C70" s="197" t="s">
        <v>172</v>
      </c>
      <c r="D70" s="196"/>
      <c r="E70" s="196">
        <v>8211.794088983348</v>
      </c>
      <c r="F70" s="196"/>
      <c r="G70" s="196">
        <v>2019.7169999926355</v>
      </c>
      <c r="H70" s="196"/>
      <c r="I70" s="196">
        <v>350.77393380392482</v>
      </c>
      <c r="J70" s="196"/>
      <c r="K70" s="196">
        <v>1575.2201347208215</v>
      </c>
      <c r="L70" s="191"/>
      <c r="M70" s="196">
        <v>93.722931467889026</v>
      </c>
      <c r="N70" s="196"/>
      <c r="O70" s="196">
        <v>6192.0770889907126</v>
      </c>
      <c r="P70" s="196"/>
      <c r="Q70" s="196">
        <v>5876.6687507506513</v>
      </c>
      <c r="R70" s="196"/>
      <c r="S70" s="196">
        <v>4950.7558600234906</v>
      </c>
      <c r="T70" s="196"/>
      <c r="U70" s="196">
        <v>925.91289072716017</v>
      </c>
      <c r="V70" s="196"/>
      <c r="W70" s="196">
        <v>315.40833824006154</v>
      </c>
      <c r="X70" s="196"/>
      <c r="Y70" s="196">
        <v>270.47555642402023</v>
      </c>
      <c r="Z70" s="196"/>
      <c r="AA70" s="196">
        <v>44.932781816041384</v>
      </c>
    </row>
    <row r="71" spans="1:27" x14ac:dyDescent="0.25">
      <c r="A71" s="6" t="str">
        <f t="shared" si="1"/>
        <v>abr - jun2015</v>
      </c>
      <c r="B71" s="198">
        <v>2015</v>
      </c>
      <c r="C71" s="197" t="s">
        <v>171</v>
      </c>
      <c r="D71" s="196"/>
      <c r="E71" s="196">
        <v>8215.6134511848995</v>
      </c>
      <c r="F71" s="196"/>
      <c r="G71" s="196">
        <v>2032.6291610698197</v>
      </c>
      <c r="H71" s="196"/>
      <c r="I71" s="196">
        <v>349.07382629607463</v>
      </c>
      <c r="J71" s="196"/>
      <c r="K71" s="196">
        <v>1592.5313471118998</v>
      </c>
      <c r="L71" s="191"/>
      <c r="M71" s="196">
        <v>91.023987661845069</v>
      </c>
      <c r="N71" s="196"/>
      <c r="O71" s="196">
        <v>6182.9842901150796</v>
      </c>
      <c r="P71" s="196"/>
      <c r="Q71" s="196">
        <v>5858.4015583691225</v>
      </c>
      <c r="R71" s="196"/>
      <c r="S71" s="196">
        <v>4918.397757147317</v>
      </c>
      <c r="T71" s="196"/>
      <c r="U71" s="196">
        <v>940.00380122180627</v>
      </c>
      <c r="V71" s="196"/>
      <c r="W71" s="196">
        <v>324.58273174595712</v>
      </c>
      <c r="X71" s="196"/>
      <c r="Y71" s="196">
        <v>272.86391217011391</v>
      </c>
      <c r="Z71" s="196" t="s">
        <v>212</v>
      </c>
      <c r="AA71" s="196">
        <v>51.718819575843241</v>
      </c>
    </row>
    <row r="72" spans="1:27" x14ac:dyDescent="0.25">
      <c r="A72" s="6" t="str">
        <f t="shared" ref="A72:A103" si="2">+LOWER(C72)&amp;B72</f>
        <v>may - jul2015</v>
      </c>
      <c r="B72" s="198">
        <v>2015</v>
      </c>
      <c r="C72" s="197" t="s">
        <v>170</v>
      </c>
      <c r="D72" s="196"/>
      <c r="E72" s="196">
        <v>8220.82614419522</v>
      </c>
      <c r="F72" s="196"/>
      <c r="G72" s="196">
        <v>2029.5266443612434</v>
      </c>
      <c r="H72" s="196"/>
      <c r="I72" s="196">
        <v>357.85175042947549</v>
      </c>
      <c r="J72" s="196"/>
      <c r="K72" s="196">
        <v>1577.7116929544368</v>
      </c>
      <c r="L72" s="191"/>
      <c r="M72" s="196">
        <v>93.963200977331113</v>
      </c>
      <c r="N72" s="196"/>
      <c r="O72" s="196">
        <v>6191.2994998339773</v>
      </c>
      <c r="P72" s="196"/>
      <c r="Q72" s="196">
        <v>5854.4530799567747</v>
      </c>
      <c r="R72" s="196"/>
      <c r="S72" s="196">
        <v>4919.6674606184297</v>
      </c>
      <c r="T72" s="196"/>
      <c r="U72" s="196">
        <v>934.78561933834465</v>
      </c>
      <c r="V72" s="196"/>
      <c r="W72" s="196">
        <v>336.84641987720232</v>
      </c>
      <c r="X72" s="196"/>
      <c r="Y72" s="196">
        <v>279.98206502582366</v>
      </c>
      <c r="Z72" s="196" t="s">
        <v>212</v>
      </c>
      <c r="AA72" s="196">
        <v>56.86435485137865</v>
      </c>
    </row>
    <row r="73" spans="1:27" x14ac:dyDescent="0.25">
      <c r="A73" s="6" t="str">
        <f t="shared" si="2"/>
        <v>jun - ago2015</v>
      </c>
      <c r="B73" s="198">
        <v>2015</v>
      </c>
      <c r="C73" s="197" t="s">
        <v>169</v>
      </c>
      <c r="D73" s="196"/>
      <c r="E73" s="196">
        <v>8250.0612020427052</v>
      </c>
      <c r="F73" s="196"/>
      <c r="G73" s="196">
        <v>2051.6647955238691</v>
      </c>
      <c r="H73" s="196"/>
      <c r="I73" s="196">
        <v>344.46342902735626</v>
      </c>
      <c r="J73" s="196"/>
      <c r="K73" s="196">
        <v>1610.4355779816744</v>
      </c>
      <c r="L73" s="191"/>
      <c r="M73" s="196">
        <v>96.765788514838405</v>
      </c>
      <c r="N73" s="196"/>
      <c r="O73" s="196">
        <v>6198.3964065188366</v>
      </c>
      <c r="P73" s="196"/>
      <c r="Q73" s="196">
        <v>5860.6782752278359</v>
      </c>
      <c r="R73" s="196"/>
      <c r="S73" s="196">
        <v>4910.5662015624903</v>
      </c>
      <c r="T73" s="196"/>
      <c r="U73" s="196">
        <v>950.11207366534643</v>
      </c>
      <c r="V73" s="196"/>
      <c r="W73" s="196">
        <v>337.71813129099991</v>
      </c>
      <c r="X73" s="196"/>
      <c r="Y73" s="196">
        <v>277.30587432783375</v>
      </c>
      <c r="Z73" s="196"/>
      <c r="AA73" s="196">
        <v>60.412256963166136</v>
      </c>
    </row>
    <row r="74" spans="1:27" x14ac:dyDescent="0.25">
      <c r="A74" s="6" t="str">
        <f t="shared" si="2"/>
        <v>jul - sep2015</v>
      </c>
      <c r="B74" s="198">
        <v>2015</v>
      </c>
      <c r="C74" s="197" t="s">
        <v>168</v>
      </c>
      <c r="D74" s="196"/>
      <c r="E74" s="196">
        <v>8302.0385166644664</v>
      </c>
      <c r="F74" s="196"/>
      <c r="G74" s="196">
        <v>2078.3123996735021</v>
      </c>
      <c r="H74" s="196"/>
      <c r="I74" s="196">
        <v>334.31622986285407</v>
      </c>
      <c r="J74" s="196"/>
      <c r="K74" s="196">
        <v>1649.5164663034691</v>
      </c>
      <c r="L74" s="191"/>
      <c r="M74" s="196">
        <v>94.479703507178712</v>
      </c>
      <c r="N74" s="196"/>
      <c r="O74" s="196">
        <v>6223.7261169909652</v>
      </c>
      <c r="P74" s="196"/>
      <c r="Q74" s="196">
        <v>5893.0023400145592</v>
      </c>
      <c r="R74" s="196"/>
      <c r="S74" s="196">
        <v>4943.0674330678048</v>
      </c>
      <c r="T74" s="196"/>
      <c r="U74" s="196">
        <v>949.93490694675404</v>
      </c>
      <c r="V74" s="196"/>
      <c r="W74" s="196">
        <v>330.72377697640525</v>
      </c>
      <c r="X74" s="196"/>
      <c r="Y74" s="196">
        <v>272.87798423880031</v>
      </c>
      <c r="Z74" s="196"/>
      <c r="AA74" s="196">
        <v>57.845792737604896</v>
      </c>
    </row>
    <row r="75" spans="1:27" x14ac:dyDescent="0.25">
      <c r="A75" s="6" t="str">
        <f t="shared" si="2"/>
        <v>ago - oct2015</v>
      </c>
      <c r="B75" s="198">
        <v>2015</v>
      </c>
      <c r="C75" s="197" t="s">
        <v>167</v>
      </c>
      <c r="D75" s="196"/>
      <c r="E75" s="196">
        <v>8312.0694011889827</v>
      </c>
      <c r="F75" s="196"/>
      <c r="G75" s="196">
        <v>2076.5872181430068</v>
      </c>
      <c r="H75" s="196"/>
      <c r="I75" s="196">
        <v>335.15574869128955</v>
      </c>
      <c r="J75" s="196"/>
      <c r="K75" s="196">
        <v>1646.0463440448514</v>
      </c>
      <c r="L75" s="191"/>
      <c r="M75" s="196">
        <v>95.385125406866109</v>
      </c>
      <c r="N75" s="196"/>
      <c r="O75" s="196">
        <v>6235.4821830459759</v>
      </c>
      <c r="P75" s="196"/>
      <c r="Q75" s="196">
        <v>5898.4261387716087</v>
      </c>
      <c r="R75" s="196"/>
      <c r="S75" s="196">
        <v>4937.9777044999046</v>
      </c>
      <c r="T75" s="196"/>
      <c r="U75" s="196">
        <v>960.44843427170338</v>
      </c>
      <c r="V75" s="196"/>
      <c r="W75" s="196">
        <v>337.05604427436776</v>
      </c>
      <c r="X75" s="196"/>
      <c r="Y75" s="196">
        <v>279.77784507390669</v>
      </c>
      <c r="Z75" s="196"/>
      <c r="AA75" s="196">
        <v>57.278199200461003</v>
      </c>
    </row>
    <row r="76" spans="1:27" x14ac:dyDescent="0.25">
      <c r="A76" s="6" t="str">
        <f t="shared" si="2"/>
        <v>sep - nov2015</v>
      </c>
      <c r="B76" s="198">
        <v>2015</v>
      </c>
      <c r="C76" s="197" t="s">
        <v>166</v>
      </c>
      <c r="D76" s="196"/>
      <c r="E76" s="196">
        <v>8359.2915682527655</v>
      </c>
      <c r="F76" s="196"/>
      <c r="G76" s="196">
        <v>2110.0342909144479</v>
      </c>
      <c r="H76" s="196"/>
      <c r="I76" s="196">
        <v>339.26195688028105</v>
      </c>
      <c r="J76" s="196"/>
      <c r="K76" s="196">
        <v>1673.7316879636107</v>
      </c>
      <c r="L76" s="191"/>
      <c r="M76" s="196">
        <v>97.040646070555994</v>
      </c>
      <c r="N76" s="196"/>
      <c r="O76" s="196">
        <v>6249.2572773383172</v>
      </c>
      <c r="P76" s="196"/>
      <c r="Q76" s="196">
        <v>5926.6351816174429</v>
      </c>
      <c r="R76" s="196"/>
      <c r="S76" s="196">
        <v>4980.0132387181129</v>
      </c>
      <c r="T76" s="196"/>
      <c r="U76" s="196">
        <v>946.62194289932984</v>
      </c>
      <c r="V76" s="196"/>
      <c r="W76" s="196">
        <v>322.62209572087488</v>
      </c>
      <c r="X76" s="196"/>
      <c r="Y76" s="196">
        <v>272.41209410633934</v>
      </c>
      <c r="Z76" s="196"/>
      <c r="AA76" s="196">
        <v>50.210001614535578</v>
      </c>
    </row>
    <row r="77" spans="1:27" x14ac:dyDescent="0.25">
      <c r="A77" s="6" t="str">
        <f t="shared" si="2"/>
        <v>oct - dic2015</v>
      </c>
      <c r="B77" s="198">
        <v>2015</v>
      </c>
      <c r="C77" s="197" t="s">
        <v>165</v>
      </c>
      <c r="D77" s="196"/>
      <c r="E77" s="196">
        <v>8428.4698548728556</v>
      </c>
      <c r="F77" s="196"/>
      <c r="G77" s="196">
        <v>2088.2230906414866</v>
      </c>
      <c r="H77" s="196"/>
      <c r="I77" s="196">
        <v>336.07432543754948</v>
      </c>
      <c r="J77" s="196"/>
      <c r="K77" s="196">
        <v>1653.1935814238439</v>
      </c>
      <c r="L77" s="191"/>
      <c r="M77" s="196">
        <v>98.955183780093023</v>
      </c>
      <c r="N77" s="196"/>
      <c r="O77" s="196">
        <v>6340.2467642313686</v>
      </c>
      <c r="P77" s="196"/>
      <c r="Q77" s="196">
        <v>6010.6853789903544</v>
      </c>
      <c r="R77" s="196"/>
      <c r="S77" s="196">
        <v>5088.7712463445469</v>
      </c>
      <c r="T77" s="196"/>
      <c r="U77" s="196">
        <v>921.91413264580729</v>
      </c>
      <c r="V77" s="196"/>
      <c r="W77" s="196">
        <v>329.56138524101516</v>
      </c>
      <c r="X77" s="196"/>
      <c r="Y77" s="196">
        <v>277.05271180802936</v>
      </c>
      <c r="Z77" s="196" t="s">
        <v>212</v>
      </c>
      <c r="AA77" s="196">
        <v>52.508673432985844</v>
      </c>
    </row>
    <row r="78" spans="1:27" x14ac:dyDescent="0.25">
      <c r="A78" s="6" t="str">
        <f t="shared" si="2"/>
        <v>nov - ene2015</v>
      </c>
      <c r="B78" s="198">
        <v>2015</v>
      </c>
      <c r="C78" s="197" t="s">
        <v>164</v>
      </c>
      <c r="D78" s="196"/>
      <c r="E78" s="196">
        <v>8452.0669889960409</v>
      </c>
      <c r="F78" s="196"/>
      <c r="G78" s="196">
        <v>2067.3644653184574</v>
      </c>
      <c r="H78" s="196"/>
      <c r="I78" s="196">
        <v>322.24565164758894</v>
      </c>
      <c r="J78" s="196"/>
      <c r="K78" s="196">
        <v>1650.2785456988495</v>
      </c>
      <c r="L78" s="191"/>
      <c r="M78" s="196">
        <v>94.840267972018765</v>
      </c>
      <c r="N78" s="196"/>
      <c r="O78" s="196">
        <v>6384.7025236775826</v>
      </c>
      <c r="P78" s="196"/>
      <c r="Q78" s="196">
        <v>6058.8211159232442</v>
      </c>
      <c r="R78" s="196"/>
      <c r="S78" s="196">
        <v>5143.2399684107695</v>
      </c>
      <c r="T78" s="196"/>
      <c r="U78" s="196">
        <v>915.58114751247513</v>
      </c>
      <c r="V78" s="196"/>
      <c r="W78" s="196">
        <v>325.88140775433857</v>
      </c>
      <c r="X78" s="196"/>
      <c r="Y78" s="196">
        <v>268.18063538517822</v>
      </c>
      <c r="Z78" s="196"/>
      <c r="AA78" s="196">
        <v>57.700772369160376</v>
      </c>
    </row>
    <row r="79" spans="1:27" x14ac:dyDescent="0.25">
      <c r="A79" s="6" t="str">
        <f t="shared" si="2"/>
        <v>dic - feb2016</v>
      </c>
      <c r="B79" s="198">
        <v>2016</v>
      </c>
      <c r="C79" s="199" t="s">
        <v>163</v>
      </c>
      <c r="D79" s="196"/>
      <c r="E79" s="196">
        <v>8417.1334698964929</v>
      </c>
      <c r="F79" s="196"/>
      <c r="G79" s="196">
        <v>2005.3650956280562</v>
      </c>
      <c r="H79" s="196"/>
      <c r="I79" s="196">
        <v>306.49684745331791</v>
      </c>
      <c r="J79" s="196"/>
      <c r="K79" s="196">
        <v>1608.2749366518024</v>
      </c>
      <c r="L79" s="191"/>
      <c r="M79" s="196">
        <v>90.593311522935849</v>
      </c>
      <c r="N79" s="196"/>
      <c r="O79" s="196">
        <v>6411.7683742684367</v>
      </c>
      <c r="P79" s="196"/>
      <c r="Q79" s="196">
        <v>6084.1651177407339</v>
      </c>
      <c r="R79" s="196"/>
      <c r="S79" s="196">
        <v>5188.7582221324583</v>
      </c>
      <c r="T79" s="196"/>
      <c r="U79" s="196">
        <v>895.40689560827491</v>
      </c>
      <c r="V79" s="196"/>
      <c r="W79" s="196">
        <v>327.60325652770382</v>
      </c>
      <c r="X79" s="196"/>
      <c r="Y79" s="196">
        <v>270.79059037665365</v>
      </c>
      <c r="Z79" s="196"/>
      <c r="AA79" s="196">
        <v>56.812666151050209</v>
      </c>
    </row>
    <row r="80" spans="1:27" x14ac:dyDescent="0.25">
      <c r="A80" s="6" t="str">
        <f t="shared" si="2"/>
        <v>ene - mar2016</v>
      </c>
      <c r="B80" s="198">
        <v>2016</v>
      </c>
      <c r="C80" s="197" t="s">
        <v>162</v>
      </c>
      <c r="D80" s="196"/>
      <c r="E80" s="196">
        <v>8360.571675024119</v>
      </c>
      <c r="F80" s="196"/>
      <c r="G80" s="196">
        <v>2042.4900363937895</v>
      </c>
      <c r="H80" s="196"/>
      <c r="I80" s="196">
        <v>319.16894921610566</v>
      </c>
      <c r="J80" s="196"/>
      <c r="K80" s="196">
        <v>1623.583514065089</v>
      </c>
      <c r="L80" s="191"/>
      <c r="M80" s="196">
        <v>99.737573112594887</v>
      </c>
      <c r="N80" s="196"/>
      <c r="O80" s="196">
        <v>6318.0816386303286</v>
      </c>
      <c r="P80" s="196"/>
      <c r="Q80" s="196">
        <v>5999.356691609999</v>
      </c>
      <c r="R80" s="196"/>
      <c r="S80" s="196">
        <v>5107.5099321237876</v>
      </c>
      <c r="T80" s="196"/>
      <c r="U80" s="196">
        <v>891.84675948621145</v>
      </c>
      <c r="V80" s="196"/>
      <c r="W80" s="196">
        <v>318.72494702032969</v>
      </c>
      <c r="X80" s="196"/>
      <c r="Y80" s="196">
        <v>264.99796932327746</v>
      </c>
      <c r="Z80" s="196"/>
      <c r="AA80" s="196">
        <v>53.726977697052263</v>
      </c>
    </row>
    <row r="81" spans="1:27" x14ac:dyDescent="0.25">
      <c r="A81" s="6" t="str">
        <f t="shared" si="2"/>
        <v>feb - abr2016</v>
      </c>
      <c r="B81" s="198">
        <v>2016</v>
      </c>
      <c r="C81" s="197" t="s">
        <v>173</v>
      </c>
      <c r="D81" s="196"/>
      <c r="E81" s="196">
        <v>8376.2291567571883</v>
      </c>
      <c r="F81" s="196"/>
      <c r="G81" s="196">
        <v>2068.1509265715122</v>
      </c>
      <c r="H81" s="196"/>
      <c r="I81" s="196">
        <v>334.69493143539194</v>
      </c>
      <c r="J81" s="196"/>
      <c r="K81" s="196">
        <v>1633.0832514532588</v>
      </c>
      <c r="L81" s="191"/>
      <c r="M81" s="196">
        <v>100.37274368286148</v>
      </c>
      <c r="N81" s="196"/>
      <c r="O81" s="196">
        <v>6308.0782301856761</v>
      </c>
      <c r="P81" s="196"/>
      <c r="Q81" s="196">
        <v>5978.7158140536349</v>
      </c>
      <c r="R81" s="196"/>
      <c r="S81" s="196">
        <v>5084.4270570663321</v>
      </c>
      <c r="T81" s="196"/>
      <c r="U81" s="196">
        <v>894.2887569873028</v>
      </c>
      <c r="V81" s="196"/>
      <c r="W81" s="196">
        <v>329.36241613204197</v>
      </c>
      <c r="X81" s="196"/>
      <c r="Y81" s="196">
        <v>278.01937120139672</v>
      </c>
      <c r="Z81" s="196"/>
      <c r="AA81" s="196">
        <v>51.343044930645206</v>
      </c>
    </row>
    <row r="82" spans="1:27" x14ac:dyDescent="0.25">
      <c r="A82" s="6" t="str">
        <f t="shared" si="2"/>
        <v>mar - may2016</v>
      </c>
      <c r="B82" s="198">
        <v>2016</v>
      </c>
      <c r="C82" s="197" t="s">
        <v>172</v>
      </c>
      <c r="D82" s="196"/>
      <c r="E82" s="196">
        <v>8350.3107227597866</v>
      </c>
      <c r="F82" s="196"/>
      <c r="G82" s="196">
        <v>2105.890094368574</v>
      </c>
      <c r="H82" s="196"/>
      <c r="I82" s="196">
        <v>331.42325711235799</v>
      </c>
      <c r="J82" s="196"/>
      <c r="K82" s="196">
        <v>1675.4535128070961</v>
      </c>
      <c r="L82" s="191"/>
      <c r="M82" s="196">
        <v>99.01332444911975</v>
      </c>
      <c r="N82" s="196"/>
      <c r="O82" s="196">
        <v>6244.4206283912117</v>
      </c>
      <c r="P82" s="196"/>
      <c r="Q82" s="196">
        <v>5911.1036406800786</v>
      </c>
      <c r="R82" s="196"/>
      <c r="S82" s="196">
        <v>4998.4050611129751</v>
      </c>
      <c r="T82" s="196"/>
      <c r="U82" s="196">
        <v>912.69857956710393</v>
      </c>
      <c r="V82" s="196"/>
      <c r="W82" s="196">
        <v>333.31698771113349</v>
      </c>
      <c r="X82" s="196"/>
      <c r="Y82" s="196">
        <v>281.73411088498477</v>
      </c>
      <c r="Z82" s="196"/>
      <c r="AA82" s="196">
        <v>51.582876826148713</v>
      </c>
    </row>
    <row r="83" spans="1:27" x14ac:dyDescent="0.25">
      <c r="A83" s="6" t="str">
        <f t="shared" si="2"/>
        <v>abr - jun2016</v>
      </c>
      <c r="B83" s="198">
        <v>2016</v>
      </c>
      <c r="C83" s="197" t="s">
        <v>171</v>
      </c>
      <c r="D83" s="196"/>
      <c r="E83" s="196">
        <v>8337.4210017000623</v>
      </c>
      <c r="F83" s="196"/>
      <c r="G83" s="196">
        <v>2103.835460595712</v>
      </c>
      <c r="H83" s="196"/>
      <c r="I83" s="196">
        <v>325.89380897579554</v>
      </c>
      <c r="J83" s="196"/>
      <c r="K83" s="196">
        <v>1688.1436451203576</v>
      </c>
      <c r="L83" s="191"/>
      <c r="M83" s="196">
        <v>89.79800649955861</v>
      </c>
      <c r="N83" s="196"/>
      <c r="O83" s="196">
        <v>6233.5855411043513</v>
      </c>
      <c r="P83" s="196"/>
      <c r="Q83" s="196">
        <v>5894.8308618501987</v>
      </c>
      <c r="R83" s="196"/>
      <c r="S83" s="196">
        <v>4960.177255556011</v>
      </c>
      <c r="T83" s="196"/>
      <c r="U83" s="196">
        <v>934.65360629418797</v>
      </c>
      <c r="V83" s="196"/>
      <c r="W83" s="196">
        <v>338.75467925415222</v>
      </c>
      <c r="X83" s="196"/>
      <c r="Y83" s="196">
        <v>283.7220646165822</v>
      </c>
      <c r="Z83" s="196"/>
      <c r="AA83" s="196">
        <v>55.032614637570077</v>
      </c>
    </row>
    <row r="84" spans="1:27" x14ac:dyDescent="0.25">
      <c r="A84" s="6" t="str">
        <f t="shared" si="2"/>
        <v>may - jul2016</v>
      </c>
      <c r="B84" s="198">
        <v>2016</v>
      </c>
      <c r="C84" s="197" t="s">
        <v>170</v>
      </c>
      <c r="D84" s="196"/>
      <c r="E84" s="196">
        <v>8336.2289330952699</v>
      </c>
      <c r="F84" s="196"/>
      <c r="G84" s="196">
        <v>2140.8156139153348</v>
      </c>
      <c r="H84" s="196"/>
      <c r="I84" s="196">
        <v>333.7549188630457</v>
      </c>
      <c r="J84" s="196"/>
      <c r="K84" s="196">
        <v>1719.8028628535969</v>
      </c>
      <c r="L84" s="191"/>
      <c r="M84" s="196">
        <v>87.257832198692356</v>
      </c>
      <c r="N84" s="196"/>
      <c r="O84" s="196">
        <v>6195.4133191799356</v>
      </c>
      <c r="P84" s="196"/>
      <c r="Q84" s="196">
        <v>5862.3174859719766</v>
      </c>
      <c r="R84" s="196"/>
      <c r="S84" s="196">
        <v>4935.6272410351266</v>
      </c>
      <c r="T84" s="196"/>
      <c r="U84" s="196">
        <v>926.69024493684958</v>
      </c>
      <c r="V84" s="196"/>
      <c r="W84" s="196">
        <v>333.09583320795815</v>
      </c>
      <c r="X84" s="196"/>
      <c r="Y84" s="196">
        <v>274.71704189728354</v>
      </c>
      <c r="Z84" s="196"/>
      <c r="AA84" s="196">
        <v>58.37879131067465</v>
      </c>
    </row>
    <row r="85" spans="1:27" x14ac:dyDescent="0.25">
      <c r="A85" s="6" t="str">
        <f t="shared" si="2"/>
        <v>jun - ago2016</v>
      </c>
      <c r="B85" s="198">
        <v>2016</v>
      </c>
      <c r="C85" s="197" t="s">
        <v>169</v>
      </c>
      <c r="D85" s="196"/>
      <c r="E85" s="196">
        <v>8333.1996445254827</v>
      </c>
      <c r="F85" s="196"/>
      <c r="G85" s="196">
        <v>2143.2014515664505</v>
      </c>
      <c r="H85" s="196"/>
      <c r="I85" s="196">
        <v>346.73731889379172</v>
      </c>
      <c r="J85" s="196"/>
      <c r="K85" s="196">
        <v>1707.9481602593332</v>
      </c>
      <c r="L85" s="191"/>
      <c r="M85" s="196">
        <v>88.515972413325599</v>
      </c>
      <c r="N85" s="196"/>
      <c r="O85" s="196">
        <v>6189.9981929590331</v>
      </c>
      <c r="P85" s="196"/>
      <c r="Q85" s="196">
        <v>5861.2458039283847</v>
      </c>
      <c r="R85" s="196"/>
      <c r="S85" s="196">
        <v>4946.5735396276032</v>
      </c>
      <c r="T85" s="196"/>
      <c r="U85" s="196">
        <v>914.67226430078097</v>
      </c>
      <c r="V85" s="196"/>
      <c r="W85" s="196">
        <v>328.75238903064843</v>
      </c>
      <c r="X85" s="196"/>
      <c r="Y85" s="196">
        <v>269.4343126167941</v>
      </c>
      <c r="Z85" s="196"/>
      <c r="AA85" s="196">
        <v>59.318076413854349</v>
      </c>
    </row>
    <row r="86" spans="1:27" x14ac:dyDescent="0.25">
      <c r="A86" s="6" t="str">
        <f t="shared" si="2"/>
        <v>jul - sep2016</v>
      </c>
      <c r="B86" s="198">
        <v>2016</v>
      </c>
      <c r="C86" s="197" t="s">
        <v>168</v>
      </c>
      <c r="D86" s="196"/>
      <c r="E86" s="196">
        <v>8378.3813759501045</v>
      </c>
      <c r="F86" s="196"/>
      <c r="G86" s="196">
        <v>2170.9747758481681</v>
      </c>
      <c r="H86" s="196"/>
      <c r="I86" s="196">
        <v>354.83864714476658</v>
      </c>
      <c r="J86" s="196"/>
      <c r="K86" s="196">
        <v>1725.3180189981308</v>
      </c>
      <c r="L86" s="191"/>
      <c r="M86" s="196">
        <v>90.818109705270558</v>
      </c>
      <c r="N86" s="196"/>
      <c r="O86" s="196">
        <v>6207.4066001019364</v>
      </c>
      <c r="P86" s="196"/>
      <c r="Q86" s="196">
        <v>5881.5574884739945</v>
      </c>
      <c r="R86" s="196"/>
      <c r="S86" s="196">
        <v>4957.9497102200903</v>
      </c>
      <c r="T86" s="196"/>
      <c r="U86" s="196">
        <v>923.60777825390437</v>
      </c>
      <c r="V86" s="196"/>
      <c r="W86" s="196">
        <v>325.8491116279414</v>
      </c>
      <c r="X86" s="196"/>
      <c r="Y86" s="196">
        <v>263.59453275239258</v>
      </c>
      <c r="Z86" s="196"/>
      <c r="AA86" s="196">
        <v>62.254578875548766</v>
      </c>
    </row>
    <row r="87" spans="1:27" x14ac:dyDescent="0.25">
      <c r="A87" s="6" t="str">
        <f t="shared" si="2"/>
        <v>ago - oct2016</v>
      </c>
      <c r="B87" s="198">
        <v>2016</v>
      </c>
      <c r="C87" s="197" t="s">
        <v>167</v>
      </c>
      <c r="D87" s="196"/>
      <c r="E87" s="196">
        <v>8393.7217258169494</v>
      </c>
      <c r="F87" s="196"/>
      <c r="G87" s="196">
        <v>2179.9572028283305</v>
      </c>
      <c r="H87" s="196"/>
      <c r="I87" s="196">
        <v>347.10908522649868</v>
      </c>
      <c r="J87" s="196"/>
      <c r="K87" s="196">
        <v>1740.2597626769532</v>
      </c>
      <c r="L87" s="191"/>
      <c r="M87" s="196">
        <v>92.588354924878814</v>
      </c>
      <c r="N87" s="196"/>
      <c r="O87" s="196">
        <v>6213.7645229886193</v>
      </c>
      <c r="P87" s="196"/>
      <c r="Q87" s="196">
        <v>5885.1614365312016</v>
      </c>
      <c r="R87" s="196"/>
      <c r="S87" s="196">
        <v>4962.4582238824414</v>
      </c>
      <c r="T87" s="196"/>
      <c r="U87" s="196">
        <v>922.70321264876031</v>
      </c>
      <c r="V87" s="196"/>
      <c r="W87" s="196">
        <v>328.60308645741719</v>
      </c>
      <c r="X87" s="196"/>
      <c r="Y87" s="196">
        <v>270.09034802869962</v>
      </c>
      <c r="Z87" s="196"/>
      <c r="AA87" s="196">
        <v>58.512738428717547</v>
      </c>
    </row>
    <row r="88" spans="1:27" x14ac:dyDescent="0.25">
      <c r="A88" s="6" t="str">
        <f t="shared" si="2"/>
        <v>sep - nov2016</v>
      </c>
      <c r="B88" s="198">
        <v>2016</v>
      </c>
      <c r="C88" s="197" t="s">
        <v>166</v>
      </c>
      <c r="D88" s="196"/>
      <c r="E88" s="196">
        <v>8467.0967433406968</v>
      </c>
      <c r="F88" s="196"/>
      <c r="G88" s="196">
        <v>2191.2379581614287</v>
      </c>
      <c r="H88" s="196"/>
      <c r="I88" s="196">
        <v>343.79095548038606</v>
      </c>
      <c r="J88" s="196"/>
      <c r="K88" s="196">
        <v>1742.1955536551916</v>
      </c>
      <c r="L88" s="191"/>
      <c r="M88" s="196">
        <v>105.25144902585096</v>
      </c>
      <c r="N88" s="196"/>
      <c r="O88" s="196">
        <v>6275.8587851792672</v>
      </c>
      <c r="P88" s="196"/>
      <c r="Q88" s="196">
        <v>5943.8284454101222</v>
      </c>
      <c r="R88" s="196"/>
      <c r="S88" s="196">
        <v>5009.5794696909497</v>
      </c>
      <c r="T88" s="196"/>
      <c r="U88" s="196">
        <v>934.24897571917268</v>
      </c>
      <c r="V88" s="196"/>
      <c r="W88" s="196">
        <v>332.03033976914526</v>
      </c>
      <c r="X88" s="196"/>
      <c r="Y88" s="196">
        <v>274.74787734669394</v>
      </c>
      <c r="Z88" s="196"/>
      <c r="AA88" s="196">
        <v>57.282462422451296</v>
      </c>
    </row>
    <row r="89" spans="1:27" x14ac:dyDescent="0.25">
      <c r="A89" s="6" t="str">
        <f t="shared" si="2"/>
        <v>oct - dic2016</v>
      </c>
      <c r="B89" s="198">
        <v>2016</v>
      </c>
      <c r="C89" s="197" t="s">
        <v>165</v>
      </c>
      <c r="D89" s="196"/>
      <c r="E89" s="196">
        <v>8500.7102151495037</v>
      </c>
      <c r="F89" s="196"/>
      <c r="G89" s="196">
        <v>2180.5110603408966</v>
      </c>
      <c r="H89" s="196"/>
      <c r="I89" s="196">
        <v>342.17757259053838</v>
      </c>
      <c r="J89" s="196"/>
      <c r="K89" s="196">
        <v>1728.0083988048452</v>
      </c>
      <c r="L89" s="191"/>
      <c r="M89" s="196">
        <v>110.32508894551296</v>
      </c>
      <c r="N89" s="196"/>
      <c r="O89" s="196">
        <v>6320.1991548086071</v>
      </c>
      <c r="P89" s="196"/>
      <c r="Q89" s="196">
        <v>5979.1349744839827</v>
      </c>
      <c r="R89" s="196"/>
      <c r="S89" s="196">
        <v>5064.9296965251333</v>
      </c>
      <c r="T89" s="196"/>
      <c r="U89" s="196">
        <v>914.20527795884936</v>
      </c>
      <c r="V89" s="196"/>
      <c r="W89" s="196">
        <v>341.06418032462369</v>
      </c>
      <c r="X89" s="196"/>
      <c r="Y89" s="196">
        <v>287.81533695229064</v>
      </c>
      <c r="Z89" s="196"/>
      <c r="AA89" s="196">
        <v>53.248843372333056</v>
      </c>
    </row>
    <row r="90" spans="1:27" x14ac:dyDescent="0.25">
      <c r="A90" s="6" t="str">
        <f t="shared" si="2"/>
        <v>nov - ene2016</v>
      </c>
      <c r="B90" s="198">
        <v>2016</v>
      </c>
      <c r="C90" s="197" t="s">
        <v>164</v>
      </c>
      <c r="D90" s="196"/>
      <c r="E90" s="196">
        <v>8534.5520228259484</v>
      </c>
      <c r="F90" s="196"/>
      <c r="G90" s="196">
        <v>2205.2360637140378</v>
      </c>
      <c r="H90" s="196"/>
      <c r="I90" s="196">
        <v>355.66519363167072</v>
      </c>
      <c r="J90" s="196"/>
      <c r="K90" s="196">
        <v>1731.9536791822627</v>
      </c>
      <c r="L90" s="191"/>
      <c r="M90" s="196">
        <v>117.61719090010422</v>
      </c>
      <c r="N90" s="196"/>
      <c r="O90" s="196">
        <v>6329.3159591119102</v>
      </c>
      <c r="P90" s="196"/>
      <c r="Q90" s="196">
        <v>5995.252825468463</v>
      </c>
      <c r="R90" s="196"/>
      <c r="S90" s="196">
        <v>5104.3884035504261</v>
      </c>
      <c r="T90" s="196"/>
      <c r="U90" s="196">
        <v>890.86442191803644</v>
      </c>
      <c r="V90" s="196"/>
      <c r="W90" s="196">
        <v>334.06313364344794</v>
      </c>
      <c r="X90" s="196"/>
      <c r="Y90" s="196">
        <v>280.12880226595763</v>
      </c>
      <c r="Z90" s="196"/>
      <c r="AA90" s="196">
        <v>53.934331377490309</v>
      </c>
    </row>
    <row r="91" spans="1:27" x14ac:dyDescent="0.25">
      <c r="A91" s="6" t="str">
        <f t="shared" si="2"/>
        <v>dic - feb2017</v>
      </c>
      <c r="B91" s="198">
        <v>2017</v>
      </c>
      <c r="C91" s="199" t="s">
        <v>163</v>
      </c>
      <c r="D91" s="196"/>
      <c r="E91" s="196">
        <v>8485.6996122451546</v>
      </c>
      <c r="F91" s="196"/>
      <c r="G91" s="196">
        <v>2199.6075981351055</v>
      </c>
      <c r="H91" s="196"/>
      <c r="I91" s="196">
        <v>366.25897762553711</v>
      </c>
      <c r="J91" s="196"/>
      <c r="K91" s="196">
        <v>1727.0845075173756</v>
      </c>
      <c r="L91" s="191"/>
      <c r="M91" s="196">
        <v>106.2641129921923</v>
      </c>
      <c r="N91" s="196"/>
      <c r="O91" s="196">
        <v>6286.0920141100505</v>
      </c>
      <c r="P91" s="196"/>
      <c r="Q91" s="196">
        <v>5960.0617325500489</v>
      </c>
      <c r="R91" s="196"/>
      <c r="S91" s="196">
        <v>5065.0652903265664</v>
      </c>
      <c r="T91" s="196"/>
      <c r="U91" s="196">
        <v>894.99644222348275</v>
      </c>
      <c r="V91" s="196"/>
      <c r="W91" s="196">
        <v>326.03028156000039</v>
      </c>
      <c r="X91" s="196"/>
      <c r="Y91" s="196">
        <v>273.41905382630051</v>
      </c>
      <c r="Z91" s="196"/>
      <c r="AA91" s="196">
        <v>52.611227733699884</v>
      </c>
    </row>
    <row r="92" spans="1:27" x14ac:dyDescent="0.25">
      <c r="A92" s="6" t="str">
        <f t="shared" si="2"/>
        <v>ene - mar2017</v>
      </c>
      <c r="B92" s="198">
        <v>2017</v>
      </c>
      <c r="C92" s="197" t="s">
        <v>162</v>
      </c>
      <c r="D92" s="196"/>
      <c r="E92" s="196">
        <v>8484.447492095569</v>
      </c>
      <c r="F92" s="196"/>
      <c r="G92" s="196">
        <v>2190.213069657264</v>
      </c>
      <c r="H92" s="196"/>
      <c r="I92" s="196">
        <v>371.07732629054391</v>
      </c>
      <c r="J92" s="196"/>
      <c r="K92" s="196">
        <v>1717.7751362652875</v>
      </c>
      <c r="L92" s="191"/>
      <c r="M92" s="196">
        <v>101.36060710143214</v>
      </c>
      <c r="N92" s="196"/>
      <c r="O92" s="196">
        <v>6294.234422438306</v>
      </c>
      <c r="P92" s="196"/>
      <c r="Q92" s="196">
        <v>5979.8421505739552</v>
      </c>
      <c r="R92" s="196"/>
      <c r="S92" s="196">
        <v>5077.2444902146253</v>
      </c>
      <c r="T92" s="196"/>
      <c r="U92" s="196">
        <v>902.59766035932932</v>
      </c>
      <c r="V92" s="196"/>
      <c r="W92" s="196">
        <v>314.39227186435085</v>
      </c>
      <c r="X92" s="196"/>
      <c r="Y92" s="196">
        <v>262.69085815491815</v>
      </c>
      <c r="Z92" s="196"/>
      <c r="AA92" s="196">
        <v>51.701413709432728</v>
      </c>
    </row>
    <row r="93" spans="1:27" x14ac:dyDescent="0.25">
      <c r="A93" s="6" t="str">
        <f t="shared" si="2"/>
        <v>feb - abr2017</v>
      </c>
      <c r="B93" s="198">
        <v>2017</v>
      </c>
      <c r="C93" s="197" t="s">
        <v>173</v>
      </c>
      <c r="D93" s="196"/>
      <c r="E93" s="196">
        <v>8499.903979777695</v>
      </c>
      <c r="F93" s="196"/>
      <c r="G93" s="196">
        <v>2183.8976906479256</v>
      </c>
      <c r="H93" s="196"/>
      <c r="I93" s="196">
        <v>363.85816097498866</v>
      </c>
      <c r="J93" s="196"/>
      <c r="K93" s="196">
        <v>1730.4447111571642</v>
      </c>
      <c r="L93" s="191"/>
      <c r="M93" s="196">
        <v>89.594818515772772</v>
      </c>
      <c r="N93" s="196"/>
      <c r="O93" s="196">
        <v>6316.0062891297694</v>
      </c>
      <c r="P93" s="196"/>
      <c r="Q93" s="196">
        <v>6014.8139643181466</v>
      </c>
      <c r="R93" s="196"/>
      <c r="S93" s="196">
        <v>5066.2980187822241</v>
      </c>
      <c r="T93" s="196"/>
      <c r="U93" s="196">
        <v>948.51594553592247</v>
      </c>
      <c r="V93" s="196"/>
      <c r="W93" s="196">
        <v>301.19232481162265</v>
      </c>
      <c r="X93" s="196"/>
      <c r="Y93" s="196">
        <v>253.18031691600947</v>
      </c>
      <c r="Z93" s="196" t="s">
        <v>212</v>
      </c>
      <c r="AA93" s="196">
        <v>48.012007895613181</v>
      </c>
    </row>
    <row r="94" spans="1:27" x14ac:dyDescent="0.25">
      <c r="A94" s="6" t="str">
        <f t="shared" si="2"/>
        <v>mar - may2017</v>
      </c>
      <c r="B94" s="198">
        <v>2017</v>
      </c>
      <c r="C94" s="197" t="s">
        <v>172</v>
      </c>
      <c r="D94" s="196"/>
      <c r="E94" s="196">
        <v>8535.2098449545538</v>
      </c>
      <c r="F94" s="196"/>
      <c r="G94" s="196">
        <v>2218.5296036597215</v>
      </c>
      <c r="H94" s="196"/>
      <c r="I94" s="196">
        <v>365.34664355549523</v>
      </c>
      <c r="J94" s="196"/>
      <c r="K94" s="196">
        <v>1765.3235510206821</v>
      </c>
      <c r="L94" s="191"/>
      <c r="M94" s="196">
        <v>87.859409083544506</v>
      </c>
      <c r="N94" s="196"/>
      <c r="O94" s="196">
        <v>6316.6802412948318</v>
      </c>
      <c r="P94" s="196"/>
      <c r="Q94" s="196">
        <v>6014.324344916221</v>
      </c>
      <c r="R94" s="196"/>
      <c r="S94" s="196">
        <v>5050.9186578933122</v>
      </c>
      <c r="T94" s="196"/>
      <c r="U94" s="196">
        <v>963.40568702290932</v>
      </c>
      <c r="V94" s="196"/>
      <c r="W94" s="196">
        <v>302.35589637861102</v>
      </c>
      <c r="X94" s="196"/>
      <c r="Y94" s="196">
        <v>248.54484578936047</v>
      </c>
      <c r="Z94" s="196"/>
      <c r="AA94" s="196">
        <v>53.811050589250556</v>
      </c>
    </row>
    <row r="95" spans="1:27" x14ac:dyDescent="0.25">
      <c r="A95" s="6" t="str">
        <f t="shared" si="2"/>
        <v>abr - jun2017</v>
      </c>
      <c r="B95" s="198">
        <v>2017</v>
      </c>
      <c r="C95" s="197" t="s">
        <v>171</v>
      </c>
      <c r="D95" s="196"/>
      <c r="E95" s="196">
        <v>8524.1368343171725</v>
      </c>
      <c r="F95" s="196"/>
      <c r="G95" s="196">
        <v>2212.1964020749592</v>
      </c>
      <c r="H95" s="196"/>
      <c r="I95" s="196">
        <v>358.38315406000589</v>
      </c>
      <c r="J95" s="196"/>
      <c r="K95" s="196">
        <v>1763.4907606748718</v>
      </c>
      <c r="L95" s="191"/>
      <c r="M95" s="196">
        <v>90.322487340081324</v>
      </c>
      <c r="N95" s="196"/>
      <c r="O95" s="196">
        <v>6311.9404322422124</v>
      </c>
      <c r="P95" s="196"/>
      <c r="Q95" s="196">
        <v>6002.8833226132847</v>
      </c>
      <c r="R95" s="196"/>
      <c r="S95" s="196">
        <v>5012.1728166124476</v>
      </c>
      <c r="T95" s="196"/>
      <c r="U95" s="196">
        <v>990.710506000838</v>
      </c>
      <c r="V95" s="196"/>
      <c r="W95" s="196">
        <v>309.05710962892806</v>
      </c>
      <c r="X95" s="196"/>
      <c r="Y95" s="196">
        <v>253.10896270162388</v>
      </c>
      <c r="Z95" s="196"/>
      <c r="AA95" s="196">
        <v>55.948146927304194</v>
      </c>
    </row>
    <row r="96" spans="1:27" x14ac:dyDescent="0.25">
      <c r="A96" s="6" t="str">
        <f t="shared" si="2"/>
        <v>may - jul2017</v>
      </c>
      <c r="B96" s="198">
        <v>2017</v>
      </c>
      <c r="C96" s="197" t="s">
        <v>170</v>
      </c>
      <c r="D96" s="196"/>
      <c r="E96" s="196">
        <v>8537.397604901249</v>
      </c>
      <c r="F96" s="196"/>
      <c r="G96" s="196">
        <v>2244.4340138560019</v>
      </c>
      <c r="H96" s="196"/>
      <c r="I96" s="196">
        <v>372.84771895993043</v>
      </c>
      <c r="J96" s="196"/>
      <c r="K96" s="196">
        <v>1781.3068524860541</v>
      </c>
      <c r="L96" s="191"/>
      <c r="M96" s="196">
        <v>90.279442410017253</v>
      </c>
      <c r="N96" s="196"/>
      <c r="O96" s="196">
        <v>6292.9635910452462</v>
      </c>
      <c r="P96" s="196"/>
      <c r="Q96" s="196">
        <v>5970.8244654390137</v>
      </c>
      <c r="R96" s="196"/>
      <c r="S96" s="196">
        <v>4988.6924362728205</v>
      </c>
      <c r="T96" s="196"/>
      <c r="U96" s="196">
        <v>982.13202916619343</v>
      </c>
      <c r="V96" s="196"/>
      <c r="W96" s="196">
        <v>322.13912560623237</v>
      </c>
      <c r="X96" s="196"/>
      <c r="Y96" s="196">
        <v>260.88129601622614</v>
      </c>
      <c r="Z96" s="196"/>
      <c r="AA96" s="196">
        <v>61.257829590006217</v>
      </c>
    </row>
    <row r="97" spans="1:27" x14ac:dyDescent="0.25">
      <c r="A97" s="6" t="str">
        <f t="shared" si="2"/>
        <v>jun - ago2017</v>
      </c>
      <c r="B97" s="198">
        <v>2017</v>
      </c>
      <c r="C97" s="197" t="s">
        <v>169</v>
      </c>
      <c r="D97" s="196"/>
      <c r="E97" s="196">
        <v>8573.4957466110718</v>
      </c>
      <c r="F97" s="196"/>
      <c r="G97" s="196">
        <v>2253.9319388371441</v>
      </c>
      <c r="H97" s="196"/>
      <c r="I97" s="196">
        <v>377.34434491499297</v>
      </c>
      <c r="J97" s="196"/>
      <c r="K97" s="196">
        <v>1787.7840336109514</v>
      </c>
      <c r="L97" s="191"/>
      <c r="M97" s="196">
        <v>88.803560311199618</v>
      </c>
      <c r="N97" s="196"/>
      <c r="O97" s="196">
        <v>6319.5638077739286</v>
      </c>
      <c r="P97" s="196"/>
      <c r="Q97" s="196">
        <v>5986.413947947095</v>
      </c>
      <c r="R97" s="196"/>
      <c r="S97" s="196">
        <v>4993.8282370246498</v>
      </c>
      <c r="T97" s="196"/>
      <c r="U97" s="196">
        <v>992.58571092244449</v>
      </c>
      <c r="V97" s="196"/>
      <c r="W97" s="196">
        <v>333.14985982683345</v>
      </c>
      <c r="X97" s="196"/>
      <c r="Y97" s="196">
        <v>264.4400437955328</v>
      </c>
      <c r="Z97" s="196"/>
      <c r="AA97" s="196">
        <v>68.70981603130069</v>
      </c>
    </row>
    <row r="98" spans="1:27" x14ac:dyDescent="0.25">
      <c r="A98" s="6" t="str">
        <f t="shared" si="2"/>
        <v>jul - sep2017</v>
      </c>
      <c r="B98" s="198">
        <v>2017</v>
      </c>
      <c r="C98" s="197" t="s">
        <v>168</v>
      </c>
      <c r="D98" s="196"/>
      <c r="E98" s="196">
        <v>8613.0925112447603</v>
      </c>
      <c r="F98" s="196"/>
      <c r="G98" s="196">
        <v>2305.9014943615621</v>
      </c>
      <c r="H98" s="196"/>
      <c r="I98" s="196">
        <v>385.67352550674826</v>
      </c>
      <c r="J98" s="196"/>
      <c r="K98" s="196">
        <v>1837.1725510450112</v>
      </c>
      <c r="L98" s="191"/>
      <c r="M98" s="196">
        <v>83.05541780980252</v>
      </c>
      <c r="N98" s="196"/>
      <c r="O98" s="196">
        <v>6307.1910168831982</v>
      </c>
      <c r="P98" s="196"/>
      <c r="Q98" s="196">
        <v>5967.607401086253</v>
      </c>
      <c r="R98" s="196"/>
      <c r="S98" s="196">
        <v>4977.2777863230704</v>
      </c>
      <c r="T98" s="196"/>
      <c r="U98" s="196">
        <v>990.32961476318224</v>
      </c>
      <c r="V98" s="196"/>
      <c r="W98" s="196">
        <v>339.58361579694548</v>
      </c>
      <c r="X98" s="196"/>
      <c r="Y98" s="196">
        <v>270.48437636684633</v>
      </c>
      <c r="Z98" s="196"/>
      <c r="AA98" s="196">
        <v>69.099239430099118</v>
      </c>
    </row>
    <row r="99" spans="1:27" x14ac:dyDescent="0.25">
      <c r="A99" s="6" t="str">
        <f t="shared" si="2"/>
        <v>ago - oct2017</v>
      </c>
      <c r="B99" s="198">
        <v>2017</v>
      </c>
      <c r="C99" s="197" t="s">
        <v>167</v>
      </c>
      <c r="D99" s="196"/>
      <c r="E99" s="196">
        <v>8622.7035182504897</v>
      </c>
      <c r="F99" s="196"/>
      <c r="G99" s="196">
        <v>2304.1850888594704</v>
      </c>
      <c r="H99" s="196"/>
      <c r="I99" s="196">
        <v>379.24782786027811</v>
      </c>
      <c r="J99" s="196"/>
      <c r="K99" s="196">
        <v>1839.7646096771484</v>
      </c>
      <c r="L99" s="191"/>
      <c r="M99" s="196">
        <v>85.172651322043819</v>
      </c>
      <c r="N99" s="196"/>
      <c r="O99" s="196">
        <v>6318.5184293910197</v>
      </c>
      <c r="P99" s="196"/>
      <c r="Q99" s="196">
        <v>5985.7467119205303</v>
      </c>
      <c r="R99" s="196"/>
      <c r="S99" s="196">
        <v>4982.2566408567336</v>
      </c>
      <c r="T99" s="196"/>
      <c r="U99" s="196">
        <v>1003.4900710637971</v>
      </c>
      <c r="V99" s="196"/>
      <c r="W99" s="196">
        <v>332.77171747048925</v>
      </c>
      <c r="X99" s="196"/>
      <c r="Y99" s="196">
        <v>258.02291676130318</v>
      </c>
      <c r="Z99" s="196"/>
      <c r="AA99" s="196">
        <v>74.748800709186057</v>
      </c>
    </row>
    <row r="100" spans="1:27" x14ac:dyDescent="0.25">
      <c r="A100" s="6" t="str">
        <f t="shared" si="2"/>
        <v>sep - nov2017</v>
      </c>
      <c r="B100" s="198">
        <v>2017</v>
      </c>
      <c r="C100" s="197" t="s">
        <v>166</v>
      </c>
      <c r="D100" s="196"/>
      <c r="E100" s="196">
        <v>8712.6814593762774</v>
      </c>
      <c r="F100" s="196"/>
      <c r="G100" s="196">
        <v>2302.4967725381384</v>
      </c>
      <c r="H100" s="196"/>
      <c r="I100" s="196">
        <v>378.45607877064589</v>
      </c>
      <c r="J100" s="196"/>
      <c r="K100" s="196">
        <v>1830.4685434687885</v>
      </c>
      <c r="L100" s="191"/>
      <c r="M100" s="196">
        <v>93.572150298704074</v>
      </c>
      <c r="N100" s="196"/>
      <c r="O100" s="196">
        <v>6410.1846868381381</v>
      </c>
      <c r="P100" s="196"/>
      <c r="Q100" s="196">
        <v>6073.1951981837983</v>
      </c>
      <c r="R100" s="196"/>
      <c r="S100" s="196">
        <v>5064.7307119550042</v>
      </c>
      <c r="T100" s="196"/>
      <c r="U100" s="196">
        <v>1008.4644862287939</v>
      </c>
      <c r="V100" s="196"/>
      <c r="W100" s="196">
        <v>336.98948865434016</v>
      </c>
      <c r="X100" s="196"/>
      <c r="Y100" s="196">
        <v>258.57823188070171</v>
      </c>
      <c r="Z100" s="196"/>
      <c r="AA100" s="196">
        <v>78.411256773638428</v>
      </c>
    </row>
    <row r="101" spans="1:27" x14ac:dyDescent="0.25">
      <c r="A101" s="6" t="str">
        <f t="shared" si="2"/>
        <v>oct - dic2017</v>
      </c>
      <c r="B101" s="198">
        <v>2017</v>
      </c>
      <c r="C101" s="197" t="s">
        <v>165</v>
      </c>
      <c r="D101" s="196"/>
      <c r="E101" s="196">
        <v>8768.6668567166944</v>
      </c>
      <c r="F101" s="196"/>
      <c r="G101" s="196">
        <v>2290.7479057776095</v>
      </c>
      <c r="H101" s="196"/>
      <c r="I101" s="196">
        <v>380.35571446623788</v>
      </c>
      <c r="J101" s="196"/>
      <c r="K101" s="196">
        <v>1811.7699967364842</v>
      </c>
      <c r="L101" s="191"/>
      <c r="M101" s="196">
        <v>98.622194574886919</v>
      </c>
      <c r="N101" s="196"/>
      <c r="O101" s="196">
        <v>6477.9189509390844</v>
      </c>
      <c r="P101" s="196"/>
      <c r="Q101" s="196">
        <v>6148.1792774591813</v>
      </c>
      <c r="R101" s="196"/>
      <c r="S101" s="196">
        <v>5124.1930973177068</v>
      </c>
      <c r="T101" s="196"/>
      <c r="U101" s="196">
        <v>1023.986180141475</v>
      </c>
      <c r="V101" s="196"/>
      <c r="W101" s="196">
        <v>329.73967347990288</v>
      </c>
      <c r="X101" s="196"/>
      <c r="Y101" s="196">
        <v>245.69908638463272</v>
      </c>
      <c r="Z101" s="196"/>
      <c r="AA101" s="196">
        <v>84.040587095270112</v>
      </c>
    </row>
    <row r="102" spans="1:27" x14ac:dyDescent="0.25">
      <c r="A102" s="6" t="str">
        <f t="shared" si="2"/>
        <v>nov - ene2017</v>
      </c>
      <c r="B102" s="198">
        <v>2017</v>
      </c>
      <c r="C102" s="197" t="s">
        <v>164</v>
      </c>
      <c r="D102" s="196"/>
      <c r="E102" s="196">
        <v>8793.9226351637244</v>
      </c>
      <c r="F102" s="196"/>
      <c r="G102" s="196">
        <v>2261.5784061814416</v>
      </c>
      <c r="H102" s="196"/>
      <c r="I102" s="196">
        <v>368.19139312424051</v>
      </c>
      <c r="J102" s="196"/>
      <c r="K102" s="196">
        <v>1770.3886145193169</v>
      </c>
      <c r="L102" s="191" t="s">
        <v>212</v>
      </c>
      <c r="M102" s="196">
        <v>122.99839853788444</v>
      </c>
      <c r="N102" s="196"/>
      <c r="O102" s="196">
        <v>6532.3442289822824</v>
      </c>
      <c r="P102" s="196"/>
      <c r="Q102" s="196">
        <v>6184.8206318634248</v>
      </c>
      <c r="R102" s="196"/>
      <c r="S102" s="196">
        <v>5160.9895747704932</v>
      </c>
      <c r="T102" s="196"/>
      <c r="U102" s="196">
        <v>1023.8310570929312</v>
      </c>
      <c r="V102" s="196"/>
      <c r="W102" s="196">
        <v>347.52359711885856</v>
      </c>
      <c r="X102" s="196"/>
      <c r="Y102" s="196">
        <v>267.09137850039616</v>
      </c>
      <c r="Z102" s="196" t="s">
        <v>212</v>
      </c>
      <c r="AA102" s="196">
        <v>80.432218618462386</v>
      </c>
    </row>
    <row r="103" spans="1:27" x14ac:dyDescent="0.25">
      <c r="A103" s="6" t="str">
        <f t="shared" si="2"/>
        <v>dic - feb2018</v>
      </c>
      <c r="B103" s="198">
        <v>2018</v>
      </c>
      <c r="C103" s="199" t="s">
        <v>163</v>
      </c>
      <c r="D103" s="196"/>
      <c r="E103" s="196">
        <v>8787.0797412728753</v>
      </c>
      <c r="F103" s="196"/>
      <c r="G103" s="196">
        <v>2227.1133232472912</v>
      </c>
      <c r="H103" s="196"/>
      <c r="I103" s="196">
        <v>365.03563053528819</v>
      </c>
      <c r="J103" s="196"/>
      <c r="K103" s="196">
        <v>1740.2663289494742</v>
      </c>
      <c r="L103" s="191" t="s">
        <v>212</v>
      </c>
      <c r="M103" s="196">
        <v>121.81136376252853</v>
      </c>
      <c r="N103" s="196"/>
      <c r="O103" s="196">
        <v>6559.9664180255859</v>
      </c>
      <c r="P103" s="196"/>
      <c r="Q103" s="196">
        <v>6226.0994926310123</v>
      </c>
      <c r="R103" s="196"/>
      <c r="S103" s="196">
        <v>5206.2582521293625</v>
      </c>
      <c r="T103" s="196"/>
      <c r="U103" s="196">
        <v>1019.8412405016492</v>
      </c>
      <c r="V103" s="196"/>
      <c r="W103" s="196">
        <v>333.86692539457334</v>
      </c>
      <c r="X103" s="196"/>
      <c r="Y103" s="196">
        <v>261.1292732466506</v>
      </c>
      <c r="Z103" s="196" t="s">
        <v>212</v>
      </c>
      <c r="AA103" s="196">
        <v>72.737652147922788</v>
      </c>
    </row>
    <row r="104" spans="1:27" x14ac:dyDescent="0.25">
      <c r="A104" s="6" t="str">
        <f t="shared" ref="A104:A135" si="3">+LOWER(C104)&amp;B104</f>
        <v>ene - mar2018</v>
      </c>
      <c r="B104" s="198">
        <v>2018</v>
      </c>
      <c r="C104" s="197" t="s">
        <v>162</v>
      </c>
      <c r="D104" s="196"/>
      <c r="E104" s="196">
        <v>8759.0807527202451</v>
      </c>
      <c r="F104" s="196"/>
      <c r="G104" s="196">
        <v>2244.3536237914777</v>
      </c>
      <c r="H104" s="196"/>
      <c r="I104" s="196">
        <v>369.30768988952866</v>
      </c>
      <c r="J104" s="196"/>
      <c r="K104" s="196">
        <v>1753.9793393879402</v>
      </c>
      <c r="L104" s="191" t="s">
        <v>212</v>
      </c>
      <c r="M104" s="196">
        <v>121.06659451400893</v>
      </c>
      <c r="N104" s="196"/>
      <c r="O104" s="196">
        <v>6514.7271289287664</v>
      </c>
      <c r="P104" s="196"/>
      <c r="Q104" s="196">
        <v>6179.8879560229543</v>
      </c>
      <c r="R104" s="196"/>
      <c r="S104" s="196">
        <v>5179.1007283570425</v>
      </c>
      <c r="T104" s="196"/>
      <c r="U104" s="196">
        <v>1000.7872276659128</v>
      </c>
      <c r="V104" s="196"/>
      <c r="W104" s="196">
        <v>334.83917290581206</v>
      </c>
      <c r="X104" s="196"/>
      <c r="Y104" s="196">
        <v>265.10779851632844</v>
      </c>
      <c r="Z104" s="196" t="s">
        <v>212</v>
      </c>
      <c r="AA104" s="196">
        <v>69.731374389483591</v>
      </c>
    </row>
    <row r="105" spans="1:27" x14ac:dyDescent="0.25">
      <c r="A105" s="6" t="str">
        <f t="shared" si="3"/>
        <v>feb - abr2018</v>
      </c>
      <c r="B105" s="198">
        <v>2018</v>
      </c>
      <c r="C105" s="197" t="s">
        <v>173</v>
      </c>
      <c r="D105" s="196"/>
      <c r="E105" s="196">
        <v>8781.0837399422035</v>
      </c>
      <c r="F105" s="196"/>
      <c r="G105" s="196">
        <v>2255.3448601978102</v>
      </c>
      <c r="H105" s="196"/>
      <c r="I105" s="196">
        <v>358.58904682810339</v>
      </c>
      <c r="J105" s="196"/>
      <c r="K105" s="196">
        <v>1796.8084324076938</v>
      </c>
      <c r="L105" s="191"/>
      <c r="M105" s="196">
        <v>99.947380962013511</v>
      </c>
      <c r="N105" s="196"/>
      <c r="O105" s="196">
        <v>6525.7388797443928</v>
      </c>
      <c r="P105" s="196"/>
      <c r="Q105" s="196">
        <v>6204.4681061006895</v>
      </c>
      <c r="R105" s="196"/>
      <c r="S105" s="196">
        <v>5187.0337113733858</v>
      </c>
      <c r="T105" s="196"/>
      <c r="U105" s="196">
        <v>1017.4343947273038</v>
      </c>
      <c r="V105" s="196"/>
      <c r="W105" s="196">
        <v>321.27077364370359</v>
      </c>
      <c r="X105" s="196"/>
      <c r="Y105" s="196">
        <v>250.19630174135347</v>
      </c>
      <c r="Z105" s="196" t="s">
        <v>212</v>
      </c>
      <c r="AA105" s="196">
        <v>71.07447190235014</v>
      </c>
    </row>
    <row r="106" spans="1:27" x14ac:dyDescent="0.25">
      <c r="A106" s="6" t="str">
        <f t="shared" si="3"/>
        <v>mar - may2018</v>
      </c>
      <c r="B106" s="198">
        <v>2018</v>
      </c>
      <c r="C106" s="197" t="s">
        <v>172</v>
      </c>
      <c r="D106" s="196"/>
      <c r="E106" s="196">
        <v>8766.651220416994</v>
      </c>
      <c r="F106" s="196"/>
      <c r="G106" s="196">
        <v>2281.9907389914551</v>
      </c>
      <c r="H106" s="196"/>
      <c r="I106" s="196">
        <v>354.41524584737562</v>
      </c>
      <c r="J106" s="196"/>
      <c r="K106" s="196">
        <v>1832.2858845838357</v>
      </c>
      <c r="L106" s="191"/>
      <c r="M106" s="196">
        <v>95.289608560243892</v>
      </c>
      <c r="N106" s="196"/>
      <c r="O106" s="196">
        <v>6484.6604814255388</v>
      </c>
      <c r="P106" s="196"/>
      <c r="Q106" s="196">
        <v>6163.0250636965147</v>
      </c>
      <c r="R106" s="196"/>
      <c r="S106" s="196">
        <v>5135.3464445937307</v>
      </c>
      <c r="T106" s="196"/>
      <c r="U106" s="196">
        <v>1027.6786191027845</v>
      </c>
      <c r="V106" s="196"/>
      <c r="W106" s="196">
        <v>321.63541772902414</v>
      </c>
      <c r="X106" s="196"/>
      <c r="Y106" s="196">
        <v>249.36401325724276</v>
      </c>
      <c r="Z106" s="196" t="s">
        <v>212</v>
      </c>
      <c r="AA106" s="196">
        <v>72.271404471781352</v>
      </c>
    </row>
    <row r="107" spans="1:27" x14ac:dyDescent="0.25">
      <c r="A107" s="6" t="str">
        <f t="shared" si="3"/>
        <v>abr - jun2018</v>
      </c>
      <c r="B107" s="198">
        <v>2018</v>
      </c>
      <c r="C107" s="197" t="s">
        <v>171</v>
      </c>
      <c r="D107" s="196"/>
      <c r="E107" s="196">
        <v>8755.5487377645331</v>
      </c>
      <c r="F107" s="196"/>
      <c r="G107" s="196">
        <v>2238.0073952838311</v>
      </c>
      <c r="H107" s="196"/>
      <c r="I107" s="196">
        <v>350.45814940413794</v>
      </c>
      <c r="J107" s="196"/>
      <c r="K107" s="196">
        <v>1795.703775803604</v>
      </c>
      <c r="L107" s="191"/>
      <c r="M107" s="196">
        <v>91.845470076089214</v>
      </c>
      <c r="N107" s="196"/>
      <c r="O107" s="196">
        <v>6517.5413424807011</v>
      </c>
      <c r="P107" s="196"/>
      <c r="Q107" s="196">
        <v>6199.6981847189863</v>
      </c>
      <c r="R107" s="196"/>
      <c r="S107" s="196">
        <v>5152.3228388499601</v>
      </c>
      <c r="T107" s="196"/>
      <c r="U107" s="196">
        <v>1047.375345869026</v>
      </c>
      <c r="V107" s="196"/>
      <c r="W107" s="196">
        <v>317.84315776171582</v>
      </c>
      <c r="X107" s="196"/>
      <c r="Y107" s="196">
        <v>248.2631200838286</v>
      </c>
      <c r="Z107" s="196" t="s">
        <v>212</v>
      </c>
      <c r="AA107" s="196">
        <v>69.580037677887248</v>
      </c>
    </row>
    <row r="108" spans="1:27" x14ac:dyDescent="0.25">
      <c r="A108" s="6" t="str">
        <f t="shared" si="3"/>
        <v>may - jul2018</v>
      </c>
      <c r="B108" s="198">
        <v>2018</v>
      </c>
      <c r="C108" s="197" t="s">
        <v>170</v>
      </c>
      <c r="D108" s="196"/>
      <c r="E108" s="196">
        <v>8708.7376725227205</v>
      </c>
      <c r="F108" s="196"/>
      <c r="G108" s="196">
        <v>2215.812101359988</v>
      </c>
      <c r="H108" s="196"/>
      <c r="I108" s="196">
        <v>345.94643799103375</v>
      </c>
      <c r="J108" s="196"/>
      <c r="K108" s="196">
        <v>1783.6014943518564</v>
      </c>
      <c r="L108" s="191"/>
      <c r="M108" s="196">
        <v>86.264169017097998</v>
      </c>
      <c r="N108" s="196"/>
      <c r="O108" s="196">
        <v>6492.925571162732</v>
      </c>
      <c r="P108" s="196"/>
      <c r="Q108" s="196">
        <v>6174.2886106402229</v>
      </c>
      <c r="R108" s="196"/>
      <c r="S108" s="196">
        <v>5114.8434921605258</v>
      </c>
      <c r="T108" s="196"/>
      <c r="U108" s="196">
        <v>1059.4451184796976</v>
      </c>
      <c r="V108" s="196"/>
      <c r="W108" s="196">
        <v>318.63696052250862</v>
      </c>
      <c r="X108" s="196"/>
      <c r="Y108" s="196">
        <v>247.01275785021377</v>
      </c>
      <c r="Z108" s="196" t="s">
        <v>212</v>
      </c>
      <c r="AA108" s="196">
        <v>71.624202672294842</v>
      </c>
    </row>
    <row r="109" spans="1:27" x14ac:dyDescent="0.25">
      <c r="A109" s="6" t="str">
        <f t="shared" si="3"/>
        <v>jun - ago2018</v>
      </c>
      <c r="B109" s="198">
        <v>2018</v>
      </c>
      <c r="C109" s="197" t="s">
        <v>169</v>
      </c>
      <c r="D109" s="196"/>
      <c r="E109" s="196">
        <v>8707.194347841003</v>
      </c>
      <c r="F109" s="196"/>
      <c r="G109" s="196">
        <v>2214.4230372627126</v>
      </c>
      <c r="H109" s="196"/>
      <c r="I109" s="196">
        <v>354.34570446256487</v>
      </c>
      <c r="J109" s="196"/>
      <c r="K109" s="196">
        <v>1778.6915964533055</v>
      </c>
      <c r="L109" s="191"/>
      <c r="M109" s="196">
        <v>81.38573634684208</v>
      </c>
      <c r="N109" s="196"/>
      <c r="O109" s="196">
        <v>6492.7713105782914</v>
      </c>
      <c r="P109" s="196"/>
      <c r="Q109" s="196">
        <v>6169.4121477517792</v>
      </c>
      <c r="R109" s="196"/>
      <c r="S109" s="196">
        <v>5120.7188438908306</v>
      </c>
      <c r="T109" s="196"/>
      <c r="U109" s="196">
        <v>1048.6933038609486</v>
      </c>
      <c r="V109" s="196"/>
      <c r="W109" s="196">
        <v>323.35916282651203</v>
      </c>
      <c r="X109" s="196"/>
      <c r="Y109" s="196">
        <v>251.00006625315177</v>
      </c>
      <c r="Z109" s="196" t="s">
        <v>212</v>
      </c>
      <c r="AA109" s="196">
        <v>72.359096573360205</v>
      </c>
    </row>
    <row r="110" spans="1:27" x14ac:dyDescent="0.25">
      <c r="A110" s="6" t="str">
        <f t="shared" si="3"/>
        <v>jul - sep2018</v>
      </c>
      <c r="B110" s="198">
        <v>2018</v>
      </c>
      <c r="C110" s="197" t="s">
        <v>168</v>
      </c>
      <c r="D110" s="196"/>
      <c r="E110" s="196">
        <v>8710.9077206956918</v>
      </c>
      <c r="F110" s="196"/>
      <c r="G110" s="196">
        <v>2264.5614326869127</v>
      </c>
      <c r="H110" s="196"/>
      <c r="I110" s="196">
        <v>347.35897868611858</v>
      </c>
      <c r="J110" s="196"/>
      <c r="K110" s="196">
        <v>1835.9802707202539</v>
      </c>
      <c r="L110" s="191"/>
      <c r="M110" s="196">
        <v>81.222183280540563</v>
      </c>
      <c r="N110" s="196"/>
      <c r="O110" s="196">
        <v>6446.3462880087791</v>
      </c>
      <c r="P110" s="196"/>
      <c r="Q110" s="196">
        <v>6134.6338379393446</v>
      </c>
      <c r="R110" s="196"/>
      <c r="S110" s="196">
        <v>5086.1164788197757</v>
      </c>
      <c r="T110" s="196"/>
      <c r="U110" s="196">
        <v>1048.5173591195689</v>
      </c>
      <c r="V110" s="196"/>
      <c r="W110" s="196">
        <v>311.71245006943485</v>
      </c>
      <c r="X110" s="196"/>
      <c r="Y110" s="196">
        <v>243.66061518848349</v>
      </c>
      <c r="Z110" s="196" t="s">
        <v>212</v>
      </c>
      <c r="AA110" s="196">
        <v>68.051834880951361</v>
      </c>
    </row>
    <row r="111" spans="1:27" x14ac:dyDescent="0.25">
      <c r="A111" s="6" t="str">
        <f t="shared" si="3"/>
        <v>ago - oct2018</v>
      </c>
      <c r="B111" s="198">
        <v>2018</v>
      </c>
      <c r="C111" s="197" t="s">
        <v>167</v>
      </c>
      <c r="D111" s="196"/>
      <c r="E111" s="196">
        <v>8773.836474712647</v>
      </c>
      <c r="F111" s="196"/>
      <c r="G111" s="196">
        <v>2312.4193079544134</v>
      </c>
      <c r="H111" s="196"/>
      <c r="I111" s="196">
        <v>375.17387894981977</v>
      </c>
      <c r="J111" s="196"/>
      <c r="K111" s="196">
        <v>1846.88573797342</v>
      </c>
      <c r="L111" s="191"/>
      <c r="M111" s="196">
        <v>90.359691031173455</v>
      </c>
      <c r="N111" s="196"/>
      <c r="O111" s="196">
        <v>6461.417166758235</v>
      </c>
      <c r="P111" s="196"/>
      <c r="Q111" s="196">
        <v>6150.4894895767729</v>
      </c>
      <c r="R111" s="196"/>
      <c r="S111" s="196">
        <v>5107.2003540051664</v>
      </c>
      <c r="T111" s="196"/>
      <c r="U111" s="196">
        <v>1043.2891355716058</v>
      </c>
      <c r="V111" s="196"/>
      <c r="W111" s="196">
        <v>310.92767718146195</v>
      </c>
      <c r="X111" s="196"/>
      <c r="Y111" s="196">
        <v>240.10218144841059</v>
      </c>
      <c r="Z111" s="196" t="s">
        <v>212</v>
      </c>
      <c r="AA111" s="196">
        <v>70.825495733051326</v>
      </c>
    </row>
    <row r="112" spans="1:27" x14ac:dyDescent="0.25">
      <c r="A112" s="6" t="str">
        <f t="shared" si="3"/>
        <v>sep - nov2018</v>
      </c>
      <c r="B112" s="198">
        <v>2018</v>
      </c>
      <c r="C112" s="197" t="s">
        <v>166</v>
      </c>
      <c r="D112" s="196"/>
      <c r="E112" s="196">
        <v>8828.991357605104</v>
      </c>
      <c r="F112" s="196"/>
      <c r="G112" s="196">
        <v>2354.4372340698592</v>
      </c>
      <c r="H112" s="196"/>
      <c r="I112" s="196">
        <v>376.82155988782796</v>
      </c>
      <c r="J112" s="196"/>
      <c r="K112" s="196">
        <v>1870.2392858096503</v>
      </c>
      <c r="L112" s="191"/>
      <c r="M112" s="196">
        <v>107.37638837238094</v>
      </c>
      <c r="N112" s="196"/>
      <c r="O112" s="196">
        <v>6474.5541235352439</v>
      </c>
      <c r="P112" s="196"/>
      <c r="Q112" s="196">
        <v>6159.2035222322529</v>
      </c>
      <c r="R112" s="196"/>
      <c r="S112" s="196">
        <v>5113.4863451663168</v>
      </c>
      <c r="T112" s="196"/>
      <c r="U112" s="196">
        <v>1045.7171770659349</v>
      </c>
      <c r="V112" s="196"/>
      <c r="W112" s="196">
        <v>315.35060130299149</v>
      </c>
      <c r="X112" s="196"/>
      <c r="Y112" s="196">
        <v>243.02856588602106</v>
      </c>
      <c r="Z112" s="196" t="s">
        <v>212</v>
      </c>
      <c r="AA112" s="196">
        <v>72.322035416970465</v>
      </c>
    </row>
    <row r="113" spans="1:27" x14ac:dyDescent="0.25">
      <c r="A113" s="6" t="str">
        <f t="shared" si="3"/>
        <v>oct - dic2018</v>
      </c>
      <c r="B113" s="198">
        <v>2018</v>
      </c>
      <c r="C113" s="197" t="s">
        <v>165</v>
      </c>
      <c r="D113" s="196"/>
      <c r="E113" s="196">
        <v>8914.2484603237936</v>
      </c>
      <c r="F113" s="196"/>
      <c r="G113" s="196">
        <v>2312.0095142859677</v>
      </c>
      <c r="H113" s="196"/>
      <c r="I113" s="196">
        <v>396.11983751151553</v>
      </c>
      <c r="J113" s="196"/>
      <c r="K113" s="196">
        <v>1806.4729081833805</v>
      </c>
      <c r="L113" s="191"/>
      <c r="M113" s="196">
        <v>109.41676859107172</v>
      </c>
      <c r="N113" s="196"/>
      <c r="O113" s="196">
        <v>6602.2389460378263</v>
      </c>
      <c r="P113" s="196"/>
      <c r="Q113" s="196">
        <v>6280.8922395355303</v>
      </c>
      <c r="R113" s="196"/>
      <c r="S113" s="196">
        <v>5217.3641101956491</v>
      </c>
      <c r="T113" s="196"/>
      <c r="U113" s="196">
        <v>1063.5281293398814</v>
      </c>
      <c r="V113" s="196"/>
      <c r="W113" s="196">
        <v>321.34670650229549</v>
      </c>
      <c r="X113" s="196"/>
      <c r="Y113" s="196">
        <v>249.77155160836458</v>
      </c>
      <c r="Z113" s="196" t="s">
        <v>212</v>
      </c>
      <c r="AA113" s="196">
        <v>71.575154893930929</v>
      </c>
    </row>
    <row r="114" spans="1:27" x14ac:dyDescent="0.25">
      <c r="A114" s="6" t="str">
        <f t="shared" si="3"/>
        <v>nov - ene2018</v>
      </c>
      <c r="B114" s="198">
        <v>2018</v>
      </c>
      <c r="C114" s="197" t="s">
        <v>164</v>
      </c>
      <c r="D114" s="196"/>
      <c r="E114" s="196">
        <v>8927.9516032600386</v>
      </c>
      <c r="F114" s="196"/>
      <c r="G114" s="196">
        <v>2286.5330523871799</v>
      </c>
      <c r="H114" s="196"/>
      <c r="I114" s="196">
        <v>373.50050533866204</v>
      </c>
      <c r="J114" s="196"/>
      <c r="K114" s="196">
        <v>1809.4813463003995</v>
      </c>
      <c r="L114" s="191"/>
      <c r="M114" s="196">
        <v>103.55120074811829</v>
      </c>
      <c r="N114" s="196"/>
      <c r="O114" s="196">
        <v>6641.4185508728597</v>
      </c>
      <c r="P114" s="196"/>
      <c r="Q114" s="196">
        <v>6321.6861547261369</v>
      </c>
      <c r="R114" s="196"/>
      <c r="S114" s="196">
        <v>5274.8288923387126</v>
      </c>
      <c r="T114" s="196"/>
      <c r="U114" s="196">
        <v>1046.8572623874236</v>
      </c>
      <c r="V114" s="196"/>
      <c r="W114" s="196">
        <v>319.73239614672281</v>
      </c>
      <c r="X114" s="196"/>
      <c r="Y114" s="196">
        <v>242.51712468403304</v>
      </c>
      <c r="Z114" s="196" t="s">
        <v>212</v>
      </c>
      <c r="AA114" s="196">
        <v>77.215271462689714</v>
      </c>
    </row>
    <row r="115" spans="1:27" x14ac:dyDescent="0.25">
      <c r="A115" s="6" t="str">
        <f t="shared" si="3"/>
        <v>dic - feb2019</v>
      </c>
      <c r="B115" s="198">
        <v>2019</v>
      </c>
      <c r="C115" s="199" t="s">
        <v>163</v>
      </c>
      <c r="D115" s="196"/>
      <c r="E115" s="196">
        <v>8907.637494962315</v>
      </c>
      <c r="F115" s="196"/>
      <c r="G115" s="196">
        <v>2270.4336361632613</v>
      </c>
      <c r="H115" s="196"/>
      <c r="I115" s="196">
        <v>379.22543138069892</v>
      </c>
      <c r="J115" s="196"/>
      <c r="K115" s="196">
        <v>1798.1735673019214</v>
      </c>
      <c r="L115" s="191"/>
      <c r="M115" s="196">
        <v>93.034637480640839</v>
      </c>
      <c r="N115" s="196"/>
      <c r="O115" s="196">
        <v>6637.2038587990528</v>
      </c>
      <c r="P115" s="196"/>
      <c r="Q115" s="196">
        <v>6318.8689546078276</v>
      </c>
      <c r="R115" s="196"/>
      <c r="S115" s="196">
        <v>5277.6322077651339</v>
      </c>
      <c r="T115" s="196"/>
      <c r="U115" s="196">
        <v>1041.2367468426939</v>
      </c>
      <c r="V115" s="196"/>
      <c r="W115" s="196">
        <v>318.33490419122478</v>
      </c>
      <c r="X115" s="196"/>
      <c r="Y115" s="196">
        <v>240.21628494957099</v>
      </c>
      <c r="Z115" s="196" t="s">
        <v>212</v>
      </c>
      <c r="AA115" s="196">
        <v>78.118619241653789</v>
      </c>
    </row>
    <row r="116" spans="1:27" x14ac:dyDescent="0.25">
      <c r="A116" s="6" t="str">
        <f t="shared" si="3"/>
        <v>ene - mar2019</v>
      </c>
      <c r="B116" s="198">
        <v>2019</v>
      </c>
      <c r="C116" s="197" t="s">
        <v>162</v>
      </c>
      <c r="D116" s="196"/>
      <c r="E116" s="196">
        <v>8879.1099535836365</v>
      </c>
      <c r="F116" s="196"/>
      <c r="G116" s="196">
        <v>2273.2974697134287</v>
      </c>
      <c r="H116" s="196"/>
      <c r="I116" s="196">
        <v>364.53138194960923</v>
      </c>
      <c r="J116" s="196"/>
      <c r="K116" s="196">
        <v>1821.6829246239947</v>
      </c>
      <c r="L116" s="191"/>
      <c r="M116" s="196">
        <v>87.083163139824862</v>
      </c>
      <c r="N116" s="196"/>
      <c r="O116" s="196">
        <v>6605.812483870207</v>
      </c>
      <c r="P116" s="196"/>
      <c r="Q116" s="196">
        <v>6295.9409790870914</v>
      </c>
      <c r="R116" s="196"/>
      <c r="S116" s="196">
        <v>5258.9612451226913</v>
      </c>
      <c r="T116" s="196"/>
      <c r="U116" s="196">
        <v>1036.9797339643994</v>
      </c>
      <c r="V116" s="196"/>
      <c r="W116" s="196">
        <v>309.87150478311696</v>
      </c>
      <c r="X116" s="196"/>
      <c r="Y116" s="196">
        <v>235.65207925051206</v>
      </c>
      <c r="Z116" s="196" t="s">
        <v>212</v>
      </c>
      <c r="AA116" s="196">
        <v>74.219425532604902</v>
      </c>
    </row>
    <row r="117" spans="1:27" x14ac:dyDescent="0.25">
      <c r="A117" s="6" t="str">
        <f t="shared" si="3"/>
        <v>feb - abr2019</v>
      </c>
      <c r="B117" s="198">
        <v>2019</v>
      </c>
      <c r="C117" s="197" t="s">
        <v>173</v>
      </c>
      <c r="D117" s="196"/>
      <c r="E117" s="196">
        <v>8916.0168798451687</v>
      </c>
      <c r="F117" s="196"/>
      <c r="G117" s="196">
        <v>2327.9968422199581</v>
      </c>
      <c r="H117" s="196"/>
      <c r="I117" s="196">
        <v>379.58633961665129</v>
      </c>
      <c r="J117" s="196"/>
      <c r="K117" s="196">
        <v>1857.5250381493688</v>
      </c>
      <c r="L117" s="191"/>
      <c r="M117" s="196">
        <v>90.885464453938354</v>
      </c>
      <c r="N117" s="196"/>
      <c r="O117" s="196">
        <v>6588.0200376252114</v>
      </c>
      <c r="P117" s="196"/>
      <c r="Q117" s="196">
        <v>6281.7354012465985</v>
      </c>
      <c r="R117" s="196"/>
      <c r="S117" s="196">
        <v>5220.2170708263111</v>
      </c>
      <c r="T117" s="196"/>
      <c r="U117" s="196">
        <v>1061.5183304202881</v>
      </c>
      <c r="V117" s="196"/>
      <c r="W117" s="196">
        <v>306.28463637861262</v>
      </c>
      <c r="X117" s="196"/>
      <c r="Y117" s="196">
        <v>238.04111200031238</v>
      </c>
      <c r="Z117" s="196" t="s">
        <v>212</v>
      </c>
      <c r="AA117" s="196">
        <v>68.243524378300194</v>
      </c>
    </row>
    <row r="118" spans="1:27" x14ac:dyDescent="0.25">
      <c r="A118" s="6" t="str">
        <f t="shared" si="3"/>
        <v>mar - may2019</v>
      </c>
      <c r="B118" s="198">
        <v>2019</v>
      </c>
      <c r="C118" s="197" t="s">
        <v>172</v>
      </c>
      <c r="D118" s="196"/>
      <c r="E118" s="196">
        <v>8925.2747406218477</v>
      </c>
      <c r="F118" s="196"/>
      <c r="G118" s="196">
        <v>2327.19802340042</v>
      </c>
      <c r="H118" s="196"/>
      <c r="I118" s="196">
        <v>360.48346083128251</v>
      </c>
      <c r="J118" s="196"/>
      <c r="K118" s="196">
        <v>1869.0811213519592</v>
      </c>
      <c r="L118" s="191"/>
      <c r="M118" s="196">
        <v>97.633441217178202</v>
      </c>
      <c r="N118" s="196"/>
      <c r="O118" s="196">
        <v>6598.0767172214273</v>
      </c>
      <c r="P118" s="196"/>
      <c r="Q118" s="196">
        <v>6274.7894684362955</v>
      </c>
      <c r="R118" s="196"/>
      <c r="S118" s="196">
        <v>5189.3351711642117</v>
      </c>
      <c r="T118" s="196"/>
      <c r="U118" s="196">
        <v>1085.4542972720826</v>
      </c>
      <c r="V118" s="196"/>
      <c r="W118" s="196">
        <v>323.28724878513276</v>
      </c>
      <c r="X118" s="196"/>
      <c r="Y118" s="196">
        <v>248.6690303836578</v>
      </c>
      <c r="Z118" s="196" t="s">
        <v>212</v>
      </c>
      <c r="AA118" s="196">
        <v>74.618218401474962</v>
      </c>
    </row>
    <row r="119" spans="1:27" x14ac:dyDescent="0.25">
      <c r="A119" s="6" t="str">
        <f t="shared" si="3"/>
        <v>abr - jun2019</v>
      </c>
      <c r="B119" s="198">
        <v>2019</v>
      </c>
      <c r="C119" s="197" t="s">
        <v>171</v>
      </c>
      <c r="D119" s="196"/>
      <c r="E119" s="196">
        <v>8922.6077561606144</v>
      </c>
      <c r="F119" s="196"/>
      <c r="G119" s="196">
        <v>2334.8696472539082</v>
      </c>
      <c r="H119" s="196"/>
      <c r="I119" s="196">
        <v>367.3517476734844</v>
      </c>
      <c r="J119" s="196"/>
      <c r="K119" s="196">
        <v>1867.48215504673</v>
      </c>
      <c r="L119" s="191"/>
      <c r="M119" s="196">
        <v>100.03574453369356</v>
      </c>
      <c r="N119" s="196"/>
      <c r="O119" s="196">
        <v>6587.7381089067076</v>
      </c>
      <c r="P119" s="196"/>
      <c r="Q119" s="196">
        <v>6261.0724627444706</v>
      </c>
      <c r="R119" s="196"/>
      <c r="S119" s="196">
        <v>5159.7157163300217</v>
      </c>
      <c r="T119" s="196"/>
      <c r="U119" s="196">
        <v>1101.3567464144489</v>
      </c>
      <c r="V119" s="196"/>
      <c r="W119" s="196">
        <v>326.66564616223673</v>
      </c>
      <c r="X119" s="196"/>
      <c r="Y119" s="196">
        <v>248.87320998408754</v>
      </c>
      <c r="Z119" s="196" t="s">
        <v>212</v>
      </c>
      <c r="AA119" s="196">
        <v>77.792436178149202</v>
      </c>
    </row>
    <row r="120" spans="1:27" x14ac:dyDescent="0.25">
      <c r="A120" s="6" t="str">
        <f t="shared" si="3"/>
        <v>may - jul2019</v>
      </c>
      <c r="B120" s="198">
        <v>2019</v>
      </c>
      <c r="C120" s="197" t="s">
        <v>170</v>
      </c>
      <c r="D120" s="196"/>
      <c r="E120" s="196">
        <v>8910.5580292024715</v>
      </c>
      <c r="F120" s="196"/>
      <c r="G120" s="196">
        <v>2299.1794873968038</v>
      </c>
      <c r="H120" s="196"/>
      <c r="I120" s="196">
        <v>341.22249821158795</v>
      </c>
      <c r="J120" s="196"/>
      <c r="K120" s="196">
        <v>1862.9242816154613</v>
      </c>
      <c r="L120" s="191"/>
      <c r="M120" s="196">
        <v>95.032707569754336</v>
      </c>
      <c r="N120" s="196"/>
      <c r="O120" s="196">
        <v>6611.3785418056696</v>
      </c>
      <c r="P120" s="196"/>
      <c r="Q120" s="196">
        <v>6300.5916020653622</v>
      </c>
      <c r="R120" s="196"/>
      <c r="S120" s="196">
        <v>5158.4726934341488</v>
      </c>
      <c r="T120" s="196"/>
      <c r="U120" s="196">
        <v>1142.1189086312122</v>
      </c>
      <c r="V120" s="196"/>
      <c r="W120" s="196">
        <v>310.78693974030762</v>
      </c>
      <c r="X120" s="196"/>
      <c r="Y120" s="196">
        <v>251.44659129622659</v>
      </c>
      <c r="Z120" s="196"/>
      <c r="AA120" s="196">
        <v>59.340348444081044</v>
      </c>
    </row>
    <row r="121" spans="1:27" x14ac:dyDescent="0.25">
      <c r="A121" s="6" t="str">
        <f t="shared" si="3"/>
        <v>jun - ago2019</v>
      </c>
      <c r="B121" s="198">
        <v>2019</v>
      </c>
      <c r="C121" s="197" t="s">
        <v>169</v>
      </c>
      <c r="D121" s="196"/>
      <c r="E121" s="196">
        <v>8928.0491756760621</v>
      </c>
      <c r="F121" s="196"/>
      <c r="G121" s="196">
        <v>2308.2342779456662</v>
      </c>
      <c r="H121" s="196"/>
      <c r="I121" s="196">
        <v>345.03802315368762</v>
      </c>
      <c r="J121" s="196"/>
      <c r="K121" s="196">
        <v>1876.8989207873321</v>
      </c>
      <c r="L121" s="191"/>
      <c r="M121" s="196">
        <v>86.297334004646515</v>
      </c>
      <c r="N121" s="196"/>
      <c r="O121" s="196">
        <v>6619.8148977303963</v>
      </c>
      <c r="P121" s="196"/>
      <c r="Q121" s="196">
        <v>6304.6365354892114</v>
      </c>
      <c r="R121" s="196"/>
      <c r="S121" s="196">
        <v>5154.5017789993162</v>
      </c>
      <c r="T121" s="196"/>
      <c r="U121" s="196">
        <v>1150.1347564898952</v>
      </c>
      <c r="V121" s="196"/>
      <c r="W121" s="196">
        <v>315.17836224118474</v>
      </c>
      <c r="X121" s="196"/>
      <c r="Y121" s="196">
        <v>253.61108298822194</v>
      </c>
      <c r="Z121" s="196" t="s">
        <v>212</v>
      </c>
      <c r="AA121" s="196">
        <v>61.567279252962834</v>
      </c>
    </row>
    <row r="122" spans="1:27" x14ac:dyDescent="0.25">
      <c r="A122" s="6" t="str">
        <f t="shared" si="3"/>
        <v>jul - sep2019</v>
      </c>
      <c r="B122" s="198">
        <v>2019</v>
      </c>
      <c r="C122" s="197" t="s">
        <v>168</v>
      </c>
      <c r="D122" s="196"/>
      <c r="E122" s="196">
        <v>9000.090955345373</v>
      </c>
      <c r="F122" s="196"/>
      <c r="G122" s="196">
        <v>2338.5445008175898</v>
      </c>
      <c r="H122" s="196"/>
      <c r="I122" s="196">
        <v>357.08734906148533</v>
      </c>
      <c r="J122" s="196"/>
      <c r="K122" s="196">
        <v>1898.2738586326705</v>
      </c>
      <c r="L122" s="191"/>
      <c r="M122" s="196">
        <v>83.183293123434069</v>
      </c>
      <c r="N122" s="196"/>
      <c r="O122" s="196">
        <v>6661.5464545277828</v>
      </c>
      <c r="P122" s="196"/>
      <c r="Q122" s="196">
        <v>6324.5584820546346</v>
      </c>
      <c r="R122" s="196"/>
      <c r="S122" s="196">
        <v>5184.675296034512</v>
      </c>
      <c r="T122" s="196"/>
      <c r="U122" s="196">
        <v>1139.883186020123</v>
      </c>
      <c r="V122" s="196"/>
      <c r="W122" s="196">
        <v>336.98797247314877</v>
      </c>
      <c r="X122" s="196"/>
      <c r="Y122" s="196">
        <v>273.34221950318494</v>
      </c>
      <c r="Z122" s="196"/>
      <c r="AA122" s="196">
        <v>63.64575296996383</v>
      </c>
    </row>
    <row r="123" spans="1:27" x14ac:dyDescent="0.25">
      <c r="A123" s="6" t="str">
        <f t="shared" si="3"/>
        <v>ago - oct2019</v>
      </c>
      <c r="B123" s="198">
        <v>2019</v>
      </c>
      <c r="C123" s="197" t="s">
        <v>167</v>
      </c>
      <c r="D123" s="196"/>
      <c r="E123" s="196">
        <v>8994.360428783355</v>
      </c>
      <c r="F123" s="196"/>
      <c r="G123" s="196">
        <v>2345.3977888117333</v>
      </c>
      <c r="H123" s="196"/>
      <c r="I123" s="196">
        <v>374.92074555754078</v>
      </c>
      <c r="J123" s="196"/>
      <c r="K123" s="196">
        <v>1895.1586984297267</v>
      </c>
      <c r="L123" s="191"/>
      <c r="M123" s="196">
        <v>75.318344824465711</v>
      </c>
      <c r="N123" s="196"/>
      <c r="O123" s="196">
        <v>6648.9626399716226</v>
      </c>
      <c r="P123" s="196"/>
      <c r="Q123" s="196">
        <v>6315.1744323239973</v>
      </c>
      <c r="R123" s="196"/>
      <c r="S123" s="196">
        <v>5209.084035836062</v>
      </c>
      <c r="T123" s="196"/>
      <c r="U123" s="196">
        <v>1106.0903964879342</v>
      </c>
      <c r="V123" s="196"/>
      <c r="W123" s="196">
        <v>333.78820764762514</v>
      </c>
      <c r="X123" s="196"/>
      <c r="Y123" s="196">
        <v>269.28333919502006</v>
      </c>
      <c r="Z123" s="196" t="s">
        <v>212</v>
      </c>
      <c r="AA123" s="196">
        <v>64.50486845260501</v>
      </c>
    </row>
    <row r="124" spans="1:27" x14ac:dyDescent="0.25">
      <c r="A124" s="6" t="str">
        <f t="shared" si="3"/>
        <v>sep - nov2019</v>
      </c>
      <c r="B124" s="198">
        <v>2019</v>
      </c>
      <c r="C124" s="197" t="s">
        <v>166</v>
      </c>
      <c r="D124" s="196"/>
      <c r="E124" s="196">
        <v>9045.3628648712256</v>
      </c>
      <c r="F124" s="196"/>
      <c r="G124" s="196">
        <v>2326.6223063945909</v>
      </c>
      <c r="H124" s="196"/>
      <c r="I124" s="196">
        <v>398.53938260203034</v>
      </c>
      <c r="J124" s="196"/>
      <c r="K124" s="196">
        <v>1853.2271742302182</v>
      </c>
      <c r="L124" s="191"/>
      <c r="M124" s="196">
        <v>74.855749562342552</v>
      </c>
      <c r="N124" s="196"/>
      <c r="O124" s="196">
        <v>6718.7405584766348</v>
      </c>
      <c r="P124" s="196"/>
      <c r="Q124" s="196">
        <v>6398.9295102223195</v>
      </c>
      <c r="R124" s="196"/>
      <c r="S124" s="196">
        <v>5291.8134325145857</v>
      </c>
      <c r="T124" s="196"/>
      <c r="U124" s="196">
        <v>1107.1160777077337</v>
      </c>
      <c r="V124" s="196"/>
      <c r="W124" s="196">
        <v>319.81104825431527</v>
      </c>
      <c r="X124" s="196"/>
      <c r="Y124" s="196">
        <v>263.83696273084797</v>
      </c>
      <c r="Z124" s="196" t="s">
        <v>212</v>
      </c>
      <c r="AA124" s="196">
        <v>55.974085523467302</v>
      </c>
    </row>
    <row r="125" spans="1:27" x14ac:dyDescent="0.25">
      <c r="A125" s="6" t="str">
        <f t="shared" si="3"/>
        <v>oct - dic2019</v>
      </c>
      <c r="B125" s="198">
        <v>2019</v>
      </c>
      <c r="C125" s="197" t="s">
        <v>165</v>
      </c>
      <c r="D125" s="196"/>
      <c r="E125" s="196">
        <v>9087.132384045819</v>
      </c>
      <c r="F125" s="196"/>
      <c r="G125" s="196">
        <v>2324.7365558249794</v>
      </c>
      <c r="H125" s="196"/>
      <c r="I125" s="196">
        <v>383.62619086871575</v>
      </c>
      <c r="J125" s="196"/>
      <c r="K125" s="196">
        <v>1861.65628930297</v>
      </c>
      <c r="L125" s="191"/>
      <c r="M125" s="196">
        <v>79.454075653293415</v>
      </c>
      <c r="N125" s="196"/>
      <c r="O125" s="196">
        <v>6762.3958282208396</v>
      </c>
      <c r="P125" s="196"/>
      <c r="Q125" s="196">
        <v>6451.4579604857799</v>
      </c>
      <c r="R125" s="196"/>
      <c r="S125" s="196">
        <v>5334.8089408990554</v>
      </c>
      <c r="T125" s="196"/>
      <c r="U125" s="196">
        <v>1116.6490195867243</v>
      </c>
      <c r="V125" s="196"/>
      <c r="W125" s="196">
        <v>310.93786773505997</v>
      </c>
      <c r="X125" s="196"/>
      <c r="Y125" s="196">
        <v>255.22104540559019</v>
      </c>
      <c r="Z125" s="196" t="s">
        <v>212</v>
      </c>
      <c r="AA125" s="196">
        <v>55.716822329469842</v>
      </c>
    </row>
    <row r="126" spans="1:27" x14ac:dyDescent="0.25">
      <c r="A126" s="6" t="str">
        <f t="shared" si="3"/>
        <v>nov - ene2019</v>
      </c>
      <c r="B126" s="198">
        <v>2019</v>
      </c>
      <c r="C126" s="197" t="s">
        <v>164</v>
      </c>
      <c r="D126" s="196"/>
      <c r="E126" s="196">
        <v>9115.641039495109</v>
      </c>
      <c r="F126" s="196"/>
      <c r="G126" s="196">
        <v>2290.0694695817874</v>
      </c>
      <c r="H126" s="196"/>
      <c r="I126" s="196">
        <v>375.39564144988447</v>
      </c>
      <c r="J126" s="196"/>
      <c r="K126" s="196">
        <v>1822.7121419781174</v>
      </c>
      <c r="L126" s="191"/>
      <c r="M126" s="196">
        <v>91.961686153785607</v>
      </c>
      <c r="N126" s="196"/>
      <c r="O126" s="196">
        <v>6825.5715699133225</v>
      </c>
      <c r="P126" s="196"/>
      <c r="Q126" s="196">
        <v>6512.051314509823</v>
      </c>
      <c r="R126" s="196"/>
      <c r="S126" s="196">
        <v>5418.813351974959</v>
      </c>
      <c r="T126" s="196"/>
      <c r="U126" s="196">
        <v>1093.2379625348642</v>
      </c>
      <c r="V126" s="196"/>
      <c r="W126" s="196">
        <v>313.52025540349928</v>
      </c>
      <c r="X126" s="196"/>
      <c r="Y126" s="196">
        <v>258.7848545462291</v>
      </c>
      <c r="Z126" s="196"/>
      <c r="AA126" s="196">
        <v>54.735400857270214</v>
      </c>
    </row>
    <row r="127" spans="1:27" x14ac:dyDescent="0.25">
      <c r="A127" s="6" t="str">
        <f t="shared" si="3"/>
        <v>dic - feb2020</v>
      </c>
      <c r="B127" s="198">
        <v>2020</v>
      </c>
      <c r="C127" s="197" t="s">
        <v>163</v>
      </c>
      <c r="D127" s="196"/>
      <c r="E127" s="196">
        <v>9063.3737370672861</v>
      </c>
      <c r="F127" s="196"/>
      <c r="G127" s="196">
        <v>2240.8886047366427</v>
      </c>
      <c r="H127" s="196"/>
      <c r="I127" s="196">
        <v>356.32962329837954</v>
      </c>
      <c r="J127" s="196"/>
      <c r="K127" s="196">
        <v>1804.8694903395458</v>
      </c>
      <c r="L127" s="191"/>
      <c r="M127" s="196">
        <v>79.689491098717866</v>
      </c>
      <c r="N127" s="196"/>
      <c r="O127" s="196">
        <v>6822.485132330642</v>
      </c>
      <c r="P127" s="196"/>
      <c r="Q127" s="196">
        <v>6528.8737376473209</v>
      </c>
      <c r="R127" s="196"/>
      <c r="S127" s="196">
        <v>5431.6643416224688</v>
      </c>
      <c r="T127" s="196"/>
      <c r="U127" s="196">
        <v>1097.2093960248519</v>
      </c>
      <c r="V127" s="196"/>
      <c r="W127" s="196">
        <v>293.61139468332084</v>
      </c>
      <c r="X127" s="196"/>
      <c r="Y127" s="196">
        <v>252.97402485414477</v>
      </c>
      <c r="Z127" s="196" t="s">
        <v>212</v>
      </c>
      <c r="AA127" s="196">
        <v>40.63736982917608</v>
      </c>
    </row>
    <row r="128" spans="1:27" x14ac:dyDescent="0.25">
      <c r="A128" s="6" t="str">
        <f t="shared" si="3"/>
        <v>ene - mar2020</v>
      </c>
      <c r="B128" s="198">
        <v>2020</v>
      </c>
      <c r="C128" s="197" t="s">
        <v>162</v>
      </c>
      <c r="D128" s="196"/>
      <c r="E128" s="196">
        <v>8942.424519777991</v>
      </c>
      <c r="F128" s="196"/>
      <c r="G128" s="196">
        <v>2180.2966451690531</v>
      </c>
      <c r="H128" s="196"/>
      <c r="I128" s="196">
        <v>349.34024922915171</v>
      </c>
      <c r="J128" s="196"/>
      <c r="K128" s="196">
        <v>1756.4013061732674</v>
      </c>
      <c r="L128" s="191"/>
      <c r="M128" s="196">
        <v>74.555089766634239</v>
      </c>
      <c r="N128" s="196"/>
      <c r="O128" s="196">
        <v>6762.1278746089383</v>
      </c>
      <c r="P128" s="196"/>
      <c r="Q128" s="196">
        <v>6475.6429659597306</v>
      </c>
      <c r="R128" s="196"/>
      <c r="S128" s="196">
        <v>5375.6857309258448</v>
      </c>
      <c r="T128" s="196"/>
      <c r="U128" s="196">
        <v>1099.9572350338858</v>
      </c>
      <c r="V128" s="196"/>
      <c r="W128" s="196">
        <v>286.48490864920745</v>
      </c>
      <c r="X128" s="196"/>
      <c r="Y128" s="196">
        <v>248.53488076655816</v>
      </c>
      <c r="Z128" s="196" t="s">
        <v>212</v>
      </c>
      <c r="AA128" s="196">
        <v>37.950027882649273</v>
      </c>
    </row>
    <row r="129" spans="1:28" x14ac:dyDescent="0.25">
      <c r="A129" s="6" t="str">
        <f t="shared" si="3"/>
        <v>feb - abr2020</v>
      </c>
      <c r="B129" s="198">
        <v>2020</v>
      </c>
      <c r="C129" s="197" t="s">
        <v>173</v>
      </c>
      <c r="D129" s="196"/>
      <c r="E129" s="196">
        <v>8235.9307920195133</v>
      </c>
      <c r="F129" s="196"/>
      <c r="G129" s="196">
        <v>1875.9624217636574</v>
      </c>
      <c r="H129" s="196"/>
      <c r="I129" s="196">
        <v>299.75113648850038</v>
      </c>
      <c r="J129" s="196"/>
      <c r="K129" s="196">
        <v>1520.1464109289157</v>
      </c>
      <c r="L129" s="191"/>
      <c r="M129" s="196">
        <v>56.064874346241233</v>
      </c>
      <c r="N129" s="196"/>
      <c r="O129" s="196">
        <v>6359.968370255855</v>
      </c>
      <c r="P129" s="196"/>
      <c r="Q129" s="196">
        <v>6120.3240843203675</v>
      </c>
      <c r="R129" s="196"/>
      <c r="S129" s="196">
        <v>5030.2928555009539</v>
      </c>
      <c r="T129" s="196"/>
      <c r="U129" s="196">
        <v>1090.0312288194129</v>
      </c>
      <c r="V129" s="196"/>
      <c r="W129" s="196">
        <v>239.64428593548828</v>
      </c>
      <c r="X129" s="196"/>
      <c r="Y129" s="196">
        <v>202.10877159938221</v>
      </c>
      <c r="Z129" s="196" t="s">
        <v>212</v>
      </c>
      <c r="AA129" s="196">
        <v>37.535514336106075</v>
      </c>
    </row>
    <row r="130" spans="1:28" x14ac:dyDescent="0.25">
      <c r="A130" s="6" t="str">
        <f t="shared" si="3"/>
        <v>mar - may2020</v>
      </c>
      <c r="B130" s="198">
        <v>2020</v>
      </c>
      <c r="C130" s="197" t="s">
        <v>172</v>
      </c>
      <c r="D130" s="196"/>
      <c r="E130" s="196">
        <v>7450.5225645242326</v>
      </c>
      <c r="F130" s="196"/>
      <c r="G130" s="196">
        <v>1635.0903722205956</v>
      </c>
      <c r="H130" s="196"/>
      <c r="I130" s="196">
        <v>259.74506937946444</v>
      </c>
      <c r="J130" s="196"/>
      <c r="K130" s="196">
        <v>1318.6086631307062</v>
      </c>
      <c r="L130" s="196"/>
      <c r="M130" s="196">
        <v>56.736639710425024</v>
      </c>
      <c r="N130" s="196"/>
      <c r="O130" s="196">
        <v>5815.4321923036368</v>
      </c>
      <c r="P130" s="196"/>
      <c r="Q130" s="196">
        <v>5625.2559755446837</v>
      </c>
      <c r="R130" s="196"/>
      <c r="S130" s="196">
        <v>4546.5623432049324</v>
      </c>
      <c r="T130" s="196"/>
      <c r="U130" s="196">
        <v>1078.6936323397508</v>
      </c>
      <c r="V130" s="196"/>
      <c r="W130" s="196">
        <v>190.17621675895305</v>
      </c>
      <c r="X130" s="196"/>
      <c r="Y130" s="196">
        <v>154.95273202146203</v>
      </c>
      <c r="Z130" s="196" t="s">
        <v>212</v>
      </c>
      <c r="AA130" s="196">
        <v>35.223484737491056</v>
      </c>
    </row>
    <row r="131" spans="1:28" x14ac:dyDescent="0.25">
      <c r="A131" s="6" t="str">
        <f t="shared" si="3"/>
        <v>abr - jun2020</v>
      </c>
      <c r="B131" s="198">
        <v>2020</v>
      </c>
      <c r="C131" s="197" t="s">
        <v>171</v>
      </c>
      <c r="D131" s="196"/>
      <c r="E131" s="196">
        <v>7142.5682851833581</v>
      </c>
      <c r="F131" s="196"/>
      <c r="G131" s="196">
        <v>1521.6703160952486</v>
      </c>
      <c r="H131" s="196"/>
      <c r="I131" s="196">
        <v>240.30691562514423</v>
      </c>
      <c r="J131" s="196"/>
      <c r="K131" s="196">
        <v>1223.1072403199946</v>
      </c>
      <c r="L131" s="196"/>
      <c r="M131" s="196">
        <v>58.256160150109729</v>
      </c>
      <c r="N131" s="196"/>
      <c r="O131" s="196">
        <v>5620.8979690881088</v>
      </c>
      <c r="P131" s="196"/>
      <c r="Q131" s="196">
        <v>5450.5820592447626</v>
      </c>
      <c r="R131" s="196"/>
      <c r="S131" s="196">
        <v>4358.50486483854</v>
      </c>
      <c r="T131" s="196"/>
      <c r="U131" s="196">
        <v>1092.0771944062224</v>
      </c>
      <c r="V131" s="196"/>
      <c r="W131" s="196">
        <v>170.31590984334792</v>
      </c>
      <c r="X131" s="196"/>
      <c r="Y131" s="196">
        <v>137.61812715364576</v>
      </c>
      <c r="Z131" s="196" t="s">
        <v>212</v>
      </c>
      <c r="AA131" s="196">
        <v>32.697782689702173</v>
      </c>
    </row>
    <row r="132" spans="1:28" x14ac:dyDescent="0.25">
      <c r="A132" s="6" t="str">
        <f t="shared" si="3"/>
        <v>may - jul2020</v>
      </c>
      <c r="B132" s="198">
        <v>2020</v>
      </c>
      <c r="C132" s="197" t="s">
        <v>170</v>
      </c>
      <c r="D132" s="196"/>
      <c r="E132" s="196">
        <v>7073.1925249337692</v>
      </c>
      <c r="F132" s="196"/>
      <c r="G132" s="196">
        <v>1539.6565270712736</v>
      </c>
      <c r="H132" s="196"/>
      <c r="I132" s="196">
        <v>224.74791981136903</v>
      </c>
      <c r="J132" s="196"/>
      <c r="K132" s="196">
        <v>1251.5796951036018</v>
      </c>
      <c r="L132" s="196"/>
      <c r="M132" s="196">
        <v>63.328912156302891</v>
      </c>
      <c r="N132" s="196"/>
      <c r="O132" s="196">
        <v>5533.5359978624956</v>
      </c>
      <c r="P132" s="196"/>
      <c r="Q132" s="196">
        <v>5365.2152744538871</v>
      </c>
      <c r="R132" s="196"/>
      <c r="S132" s="196">
        <v>4254.3689121733651</v>
      </c>
      <c r="T132" s="196"/>
      <c r="U132" s="196">
        <v>1110.8463622805223</v>
      </c>
      <c r="V132" s="196"/>
      <c r="W132" s="196">
        <v>168.3207234086083</v>
      </c>
      <c r="X132" s="196"/>
      <c r="Y132" s="196">
        <v>137.9090723852693</v>
      </c>
      <c r="Z132" s="196" t="s">
        <v>212</v>
      </c>
      <c r="AA132" s="196">
        <v>30.411651023338958</v>
      </c>
    </row>
    <row r="133" spans="1:28" x14ac:dyDescent="0.25">
      <c r="A133" s="6" t="str">
        <f t="shared" si="3"/>
        <v>jun - ago2020</v>
      </c>
      <c r="B133" s="198">
        <v>2020</v>
      </c>
      <c r="C133" s="197" t="s">
        <v>169</v>
      </c>
      <c r="D133" s="196"/>
      <c r="E133" s="196">
        <v>7191.4135982542148</v>
      </c>
      <c r="F133" s="196"/>
      <c r="G133" s="196">
        <v>1561.3686003998173</v>
      </c>
      <c r="H133" s="196"/>
      <c r="I133" s="196">
        <v>219.77072022456778</v>
      </c>
      <c r="J133" s="196"/>
      <c r="K133" s="196">
        <v>1276.0058671561296</v>
      </c>
      <c r="L133" s="196"/>
      <c r="M133" s="196">
        <v>65.592013019119975</v>
      </c>
      <c r="N133" s="196"/>
      <c r="O133" s="196">
        <v>5630.0449978543975</v>
      </c>
      <c r="P133" s="196"/>
      <c r="Q133" s="196">
        <v>5453.5480017540358</v>
      </c>
      <c r="R133" s="196"/>
      <c r="S133" s="196">
        <v>4328.706244805041</v>
      </c>
      <c r="T133" s="196"/>
      <c r="U133" s="196">
        <v>1124.8417569489959</v>
      </c>
      <c r="V133" s="196"/>
      <c r="W133" s="196">
        <v>176.49699610036106</v>
      </c>
      <c r="X133" s="196"/>
      <c r="Y133" s="196">
        <v>141.34677929322041</v>
      </c>
      <c r="Z133" s="196" t="s">
        <v>212</v>
      </c>
      <c r="AA133" s="196">
        <v>35.150216807140659</v>
      </c>
    </row>
    <row r="134" spans="1:28" x14ac:dyDescent="0.25">
      <c r="A134" s="6" t="str">
        <f t="shared" si="3"/>
        <v>jul - sep2020</v>
      </c>
      <c r="B134" s="198">
        <v>2020</v>
      </c>
      <c r="C134" s="197" t="s">
        <v>168</v>
      </c>
      <c r="D134" s="196"/>
      <c r="E134" s="196">
        <v>7365.0552540326707</v>
      </c>
      <c r="F134" s="196"/>
      <c r="G134" s="196">
        <v>1650.778480086673</v>
      </c>
      <c r="H134" s="196"/>
      <c r="I134" s="196">
        <v>235.88902818855533</v>
      </c>
      <c r="J134" s="196"/>
      <c r="K134" s="196">
        <v>1353.1208985211265</v>
      </c>
      <c r="L134" s="196"/>
      <c r="M134" s="196">
        <v>61.768553376991179</v>
      </c>
      <c r="N134" s="196"/>
      <c r="O134" s="196">
        <v>5714.2767739459978</v>
      </c>
      <c r="P134" s="196"/>
      <c r="Q134" s="196">
        <v>5534.9672213093163</v>
      </c>
      <c r="R134" s="196"/>
      <c r="S134" s="196">
        <v>4398.7002057328973</v>
      </c>
      <c r="T134" s="196"/>
      <c r="U134" s="196">
        <v>1136.2670155764197</v>
      </c>
      <c r="V134" s="196"/>
      <c r="W134" s="196">
        <v>179.30955263668045</v>
      </c>
      <c r="X134" s="196"/>
      <c r="Y134" s="196">
        <v>142.93480340267374</v>
      </c>
      <c r="Z134" s="196" t="s">
        <v>212</v>
      </c>
      <c r="AA134" s="196">
        <v>36.374749234006707</v>
      </c>
      <c r="AB134" s="196"/>
    </row>
    <row r="135" spans="1:28" x14ac:dyDescent="0.25">
      <c r="A135" s="6" t="str">
        <f t="shared" si="3"/>
        <v>ago - oct2020</v>
      </c>
      <c r="B135" s="198">
        <v>2020</v>
      </c>
      <c r="C135" s="197" t="s">
        <v>167</v>
      </c>
      <c r="D135" s="196"/>
      <c r="E135" s="196">
        <v>7667.659398293853</v>
      </c>
      <c r="F135" s="196"/>
      <c r="G135" s="196">
        <v>1788.3480845499457</v>
      </c>
      <c r="H135" s="196"/>
      <c r="I135" s="196">
        <v>252.53038269599929</v>
      </c>
      <c r="J135" s="196"/>
      <c r="K135" s="196">
        <v>1468.6320639222802</v>
      </c>
      <c r="L135" s="196"/>
      <c r="M135" s="196">
        <v>67.18563793166615</v>
      </c>
      <c r="N135" s="196"/>
      <c r="O135" s="196">
        <v>5879.3113137439068</v>
      </c>
      <c r="P135" s="196"/>
      <c r="Q135" s="196">
        <v>5709.9842887139212</v>
      </c>
      <c r="R135" s="196"/>
      <c r="S135" s="196">
        <v>4580.5098912727135</v>
      </c>
      <c r="T135" s="196"/>
      <c r="U135" s="196">
        <v>1129.4743974412067</v>
      </c>
      <c r="V135" s="196"/>
      <c r="W135" s="196">
        <v>169.32702502998674</v>
      </c>
      <c r="X135" s="196"/>
      <c r="Y135" s="196">
        <v>133.40407709108817</v>
      </c>
      <c r="Z135" s="196" t="s">
        <v>212</v>
      </c>
      <c r="AA135" s="196">
        <v>35.922947938898595</v>
      </c>
      <c r="AB135" s="196"/>
    </row>
    <row r="136" spans="1:28" x14ac:dyDescent="0.25">
      <c r="A136" s="6" t="str">
        <f t="shared" ref="A136:A167" si="4">+LOWER(C136)&amp;B136</f>
        <v>sep - nov2020</v>
      </c>
      <c r="B136" s="198">
        <v>2020</v>
      </c>
      <c r="C136" s="197" t="s">
        <v>166</v>
      </c>
      <c r="D136" s="196"/>
      <c r="E136" s="196">
        <v>7916.7236210867441</v>
      </c>
      <c r="F136" s="196"/>
      <c r="G136" s="196">
        <v>1894.6062516780871</v>
      </c>
      <c r="H136" s="196"/>
      <c r="I136" s="196">
        <v>248.00128879800485</v>
      </c>
      <c r="J136" s="196"/>
      <c r="K136" s="196">
        <v>1568.9404741574929</v>
      </c>
      <c r="L136" s="196"/>
      <c r="M136" s="196">
        <v>77.664488722589269</v>
      </c>
      <c r="N136" s="196"/>
      <c r="O136" s="196">
        <v>6022.1173694086556</v>
      </c>
      <c r="P136" s="196"/>
      <c r="Q136" s="196">
        <v>5833.6849867414894</v>
      </c>
      <c r="R136" s="196"/>
      <c r="S136" s="196">
        <v>4703.6889141451175</v>
      </c>
      <c r="T136" s="196"/>
      <c r="U136" s="196">
        <v>1129.9960725963722</v>
      </c>
      <c r="V136" s="196"/>
      <c r="W136" s="196">
        <v>188.43238266716659</v>
      </c>
      <c r="X136" s="196"/>
      <c r="Y136" s="196">
        <v>148.84484287812458</v>
      </c>
      <c r="Z136" s="196" t="s">
        <v>212</v>
      </c>
      <c r="AA136" s="196">
        <v>39.587539789042012</v>
      </c>
      <c r="AB136" s="196"/>
    </row>
    <row r="137" spans="1:28" x14ac:dyDescent="0.25">
      <c r="A137" s="6" t="str">
        <f t="shared" si="4"/>
        <v>oct - dic2020</v>
      </c>
      <c r="B137" s="198">
        <v>2020</v>
      </c>
      <c r="C137" s="197" t="s">
        <v>165</v>
      </c>
      <c r="D137" s="196"/>
      <c r="E137" s="196">
        <v>8026.2166007514534</v>
      </c>
      <c r="F137" s="196"/>
      <c r="G137" s="196">
        <v>1904.0259090922132</v>
      </c>
      <c r="H137" s="196"/>
      <c r="I137" s="196">
        <v>233.67620362573993</v>
      </c>
      <c r="J137" s="196"/>
      <c r="K137" s="196">
        <v>1589.026224552844</v>
      </c>
      <c r="L137" s="196"/>
      <c r="M137" s="196">
        <v>81.323480913629311</v>
      </c>
      <c r="N137" s="196"/>
      <c r="O137" s="196">
        <v>6122.1906916592388</v>
      </c>
      <c r="P137" s="196"/>
      <c r="Q137" s="196">
        <v>5927.2762600400101</v>
      </c>
      <c r="R137" s="196"/>
      <c r="S137" s="196">
        <v>4792.0708725057211</v>
      </c>
      <c r="T137" s="196"/>
      <c r="U137" s="196">
        <v>1135.2053875342897</v>
      </c>
      <c r="V137" s="196"/>
      <c r="W137" s="196">
        <v>194.91443161922911</v>
      </c>
      <c r="X137" s="196"/>
      <c r="Y137" s="196">
        <v>152.8643117540017</v>
      </c>
      <c r="Z137" s="196" t="s">
        <v>212</v>
      </c>
      <c r="AA137" s="196">
        <v>42.050119865227408</v>
      </c>
      <c r="AB137" s="196"/>
    </row>
    <row r="138" spans="1:28" x14ac:dyDescent="0.25">
      <c r="A138" s="6" t="str">
        <f t="shared" si="4"/>
        <v>nov - ene2020</v>
      </c>
      <c r="B138" s="198">
        <v>2020</v>
      </c>
      <c r="C138" s="197" t="s">
        <v>164</v>
      </c>
      <c r="D138" s="196"/>
      <c r="E138" s="196">
        <v>8121.4199958374447</v>
      </c>
      <c r="F138" s="196"/>
      <c r="G138" s="196">
        <v>1923.2444453986727</v>
      </c>
      <c r="H138" s="196"/>
      <c r="I138" s="196">
        <v>236.66445719808684</v>
      </c>
      <c r="J138" s="196"/>
      <c r="K138" s="196">
        <v>1611.2156699283134</v>
      </c>
      <c r="L138" s="196"/>
      <c r="M138" s="196">
        <v>75.364318272272342</v>
      </c>
      <c r="N138" s="196"/>
      <c r="O138" s="196">
        <v>6198.1755504387711</v>
      </c>
      <c r="P138" s="196"/>
      <c r="Q138" s="196">
        <v>6000.7436859363243</v>
      </c>
      <c r="R138" s="196"/>
      <c r="S138" s="196">
        <v>4871.9802002438373</v>
      </c>
      <c r="T138" s="196"/>
      <c r="U138" s="196">
        <v>1128.7634856924878</v>
      </c>
      <c r="V138" s="196"/>
      <c r="W138" s="196">
        <v>197.43186450244667</v>
      </c>
      <c r="X138" s="196"/>
      <c r="Y138" s="196">
        <v>165.61970586592267</v>
      </c>
      <c r="Z138" s="196" t="s">
        <v>212</v>
      </c>
      <c r="AA138" s="196">
        <v>31.812158636523971</v>
      </c>
      <c r="AB138" s="196"/>
    </row>
    <row r="139" spans="1:28" x14ac:dyDescent="0.25">
      <c r="A139" s="6" t="str">
        <f t="shared" si="4"/>
        <v>dic - feb2021</v>
      </c>
      <c r="B139" s="198">
        <v>2021</v>
      </c>
      <c r="C139" s="197" t="s">
        <v>163</v>
      </c>
      <c r="D139" s="196"/>
      <c r="E139" s="196">
        <v>8167.6233094410263</v>
      </c>
      <c r="F139" s="196"/>
      <c r="G139" s="196">
        <v>1950.5347453276474</v>
      </c>
      <c r="H139" s="196"/>
      <c r="I139" s="196">
        <v>245.24948993936201</v>
      </c>
      <c r="J139" s="196"/>
      <c r="K139" s="196">
        <v>1634.0805288175109</v>
      </c>
      <c r="L139" s="196"/>
      <c r="M139" s="196">
        <v>71.204726570774525</v>
      </c>
      <c r="N139" s="196"/>
      <c r="O139" s="196">
        <v>6217.0885641133782</v>
      </c>
      <c r="P139" s="196"/>
      <c r="Q139" s="196">
        <v>6018.3549321777755</v>
      </c>
      <c r="R139" s="196"/>
      <c r="S139" s="196">
        <v>4901.1159380766676</v>
      </c>
      <c r="T139" s="196"/>
      <c r="U139" s="196">
        <v>1117.2389941011081</v>
      </c>
      <c r="V139" s="196"/>
      <c r="W139" s="196">
        <v>198.73363193560292</v>
      </c>
      <c r="X139" s="196"/>
      <c r="Y139" s="196">
        <v>171.33009348991564</v>
      </c>
      <c r="Z139" s="196" t="s">
        <v>212</v>
      </c>
      <c r="AA139" s="196">
        <v>27.403538445687289</v>
      </c>
      <c r="AB139" s="196"/>
    </row>
    <row r="140" spans="1:28" x14ac:dyDescent="0.25">
      <c r="A140" s="6" t="str">
        <f t="shared" si="4"/>
        <v>ene - mar2021</v>
      </c>
      <c r="B140" s="198">
        <v>2021</v>
      </c>
      <c r="C140" s="197" t="s">
        <v>162</v>
      </c>
      <c r="D140" s="196"/>
      <c r="E140" s="196">
        <v>8148.2055685260202</v>
      </c>
      <c r="F140" s="196"/>
      <c r="G140" s="196">
        <v>1965.4425945733524</v>
      </c>
      <c r="H140" s="196"/>
      <c r="I140" s="196">
        <v>246.9203786178204</v>
      </c>
      <c r="J140" s="196"/>
      <c r="K140" s="196">
        <v>1646.3774937144522</v>
      </c>
      <c r="L140" s="196"/>
      <c r="M140" s="196">
        <v>72.144722241079904</v>
      </c>
      <c r="N140" s="196"/>
      <c r="O140" s="196">
        <v>6182.7629739526674</v>
      </c>
      <c r="P140" s="196"/>
      <c r="Q140" s="196">
        <v>5978.2871944812932</v>
      </c>
      <c r="R140" s="196"/>
      <c r="S140" s="196">
        <v>4876.186290665788</v>
      </c>
      <c r="T140" s="196"/>
      <c r="U140" s="196">
        <v>1102.1009038155064</v>
      </c>
      <c r="V140" s="196"/>
      <c r="W140" s="196">
        <v>204.4757794713739</v>
      </c>
      <c r="X140" s="196"/>
      <c r="Y140" s="196">
        <v>172.17843706963851</v>
      </c>
      <c r="Z140" s="196" t="s">
        <v>212</v>
      </c>
      <c r="AA140" s="196">
        <v>32.297342401735364</v>
      </c>
      <c r="AB140" s="196"/>
    </row>
    <row r="141" spans="1:28" x14ac:dyDescent="0.25">
      <c r="A141" s="6" t="str">
        <f t="shared" si="4"/>
        <v>feb - abr2021</v>
      </c>
      <c r="B141" s="198">
        <v>2021</v>
      </c>
      <c r="C141" s="197" t="s">
        <v>173</v>
      </c>
      <c r="D141" s="196"/>
      <c r="E141" s="196">
        <v>8104.128806984133</v>
      </c>
      <c r="F141" s="196"/>
      <c r="G141" s="196">
        <v>1966.3115927962501</v>
      </c>
      <c r="H141" s="196"/>
      <c r="I141" s="196">
        <v>249.9709736245446</v>
      </c>
      <c r="J141" s="196"/>
      <c r="K141" s="196">
        <v>1642.2022152021495</v>
      </c>
      <c r="L141" s="196"/>
      <c r="M141" s="196">
        <v>74.138403969555796</v>
      </c>
      <c r="N141" s="196"/>
      <c r="O141" s="196">
        <v>6137.8172141878831</v>
      </c>
      <c r="P141" s="196"/>
      <c r="Q141" s="196">
        <v>5936.9267574640553</v>
      </c>
      <c r="R141" s="196"/>
      <c r="S141" s="196">
        <v>4853.9414729914715</v>
      </c>
      <c r="T141" s="196"/>
      <c r="U141" s="196">
        <v>1082.9852844725838</v>
      </c>
      <c r="V141" s="196"/>
      <c r="W141" s="196">
        <v>200.89045672382755</v>
      </c>
      <c r="X141" s="196"/>
      <c r="Y141" s="196">
        <v>167.67875353791115</v>
      </c>
      <c r="Z141" s="196" t="s">
        <v>212</v>
      </c>
      <c r="AA141" s="196">
        <v>33.211703185916392</v>
      </c>
      <c r="AB141" s="196"/>
    </row>
    <row r="142" spans="1:28" x14ac:dyDescent="0.25">
      <c r="A142" s="6" t="str">
        <f t="shared" si="4"/>
        <v>mar - may2021</v>
      </c>
      <c r="B142" s="198">
        <v>2021</v>
      </c>
      <c r="C142" s="197" t="s">
        <v>172</v>
      </c>
      <c r="D142" s="196"/>
      <c r="E142" s="196">
        <v>8041.1104714103649</v>
      </c>
      <c r="F142" s="196"/>
      <c r="G142" s="196">
        <v>1962.6036557259486</v>
      </c>
      <c r="H142" s="196"/>
      <c r="I142" s="196">
        <v>248.78442916509863</v>
      </c>
      <c r="J142" s="196"/>
      <c r="K142" s="196">
        <v>1643.7881430907091</v>
      </c>
      <c r="L142" s="196"/>
      <c r="M142" s="196">
        <v>70.0310834701408</v>
      </c>
      <c r="N142" s="196"/>
      <c r="O142" s="196">
        <v>6078.5068156844163</v>
      </c>
      <c r="P142" s="196"/>
      <c r="Q142" s="196">
        <v>5874.5663974767585</v>
      </c>
      <c r="R142" s="196"/>
      <c r="S142" s="196">
        <v>4801.8193736056301</v>
      </c>
      <c r="T142" s="196"/>
      <c r="U142" s="196">
        <v>1072.7470238711285</v>
      </c>
      <c r="V142" s="196"/>
      <c r="W142" s="196">
        <v>203.94041820765713</v>
      </c>
      <c r="X142" s="196"/>
      <c r="Y142" s="196">
        <v>164.50811338305169</v>
      </c>
      <c r="Z142" s="196" t="s">
        <v>212</v>
      </c>
      <c r="AA142" s="196">
        <v>39.432304824605446</v>
      </c>
      <c r="AB142" s="196"/>
    </row>
    <row r="143" spans="1:28" x14ac:dyDescent="0.25">
      <c r="A143" s="6" t="str">
        <f t="shared" si="4"/>
        <v>abr - jun2021</v>
      </c>
      <c r="B143" s="198">
        <v>2021</v>
      </c>
      <c r="C143" s="197" t="s">
        <v>171</v>
      </c>
      <c r="D143" s="196"/>
      <c r="E143" s="196">
        <v>8041.1914145571882</v>
      </c>
      <c r="F143" s="196"/>
      <c r="G143" s="196">
        <v>1958.9821779025831</v>
      </c>
      <c r="H143" s="196"/>
      <c r="I143" s="196">
        <v>243.92293018549751</v>
      </c>
      <c r="J143" s="196"/>
      <c r="K143" s="196">
        <v>1652.7109236077645</v>
      </c>
      <c r="L143" s="196"/>
      <c r="M143" s="196">
        <v>62.348324109320977</v>
      </c>
      <c r="N143" s="196"/>
      <c r="O143" s="196">
        <v>6082.2092366546049</v>
      </c>
      <c r="P143" s="196"/>
      <c r="Q143" s="196">
        <v>5885.1915379912989</v>
      </c>
      <c r="R143" s="196"/>
      <c r="S143" s="196">
        <v>4836.4970055324693</v>
      </c>
      <c r="T143" s="196"/>
      <c r="U143" s="196">
        <v>1048.6945324588291</v>
      </c>
      <c r="V143" s="196"/>
      <c r="W143" s="196">
        <v>197.01769866330559</v>
      </c>
      <c r="X143" s="196"/>
      <c r="Y143" s="196">
        <v>163.31959745803019</v>
      </c>
      <c r="Z143" s="196" t="s">
        <v>212</v>
      </c>
      <c r="AA143" s="196">
        <v>33.698101205275428</v>
      </c>
      <c r="AB143" s="196"/>
    </row>
    <row r="144" spans="1:28" x14ac:dyDescent="0.25">
      <c r="A144" s="6" t="str">
        <f t="shared" si="4"/>
        <v>may - jul2021</v>
      </c>
      <c r="B144" s="198">
        <v>2021</v>
      </c>
      <c r="C144" s="197" t="s">
        <v>170</v>
      </c>
      <c r="D144" s="196"/>
      <c r="E144" s="196">
        <v>8148.94779488924</v>
      </c>
      <c r="F144" s="196"/>
      <c r="G144" s="196">
        <v>2020.3369659564764</v>
      </c>
      <c r="H144" s="196"/>
      <c r="I144" s="196">
        <v>236.41101184096522</v>
      </c>
      <c r="J144" s="196"/>
      <c r="K144" s="196">
        <v>1721.4265282319052</v>
      </c>
      <c r="L144" s="196"/>
      <c r="M144" s="196">
        <v>62.499425883606122</v>
      </c>
      <c r="N144" s="196"/>
      <c r="O144" s="196">
        <v>6128.6108289327631</v>
      </c>
      <c r="P144" s="196"/>
      <c r="Q144" s="196">
        <v>5923.9575965599197</v>
      </c>
      <c r="R144" s="196"/>
      <c r="S144" s="196">
        <v>4847.4751275240887</v>
      </c>
      <c r="T144" s="196"/>
      <c r="U144" s="196">
        <v>1076.4824690358307</v>
      </c>
      <c r="V144" s="196"/>
      <c r="W144" s="196">
        <v>204.65323237284332</v>
      </c>
      <c r="X144" s="196"/>
      <c r="Y144" s="196">
        <v>171.04341734204425</v>
      </c>
      <c r="Z144" s="196" t="s">
        <v>212</v>
      </c>
      <c r="AA144" s="196">
        <v>33.609815030799062</v>
      </c>
      <c r="AB144" s="196"/>
    </row>
    <row r="145" spans="1:28" x14ac:dyDescent="0.25">
      <c r="A145" s="6" t="str">
        <f t="shared" si="4"/>
        <v>jun - ago2021</v>
      </c>
      <c r="B145" s="198">
        <v>2021</v>
      </c>
      <c r="C145" s="197" t="s">
        <v>169</v>
      </c>
      <c r="D145" s="196"/>
      <c r="E145" s="196">
        <v>8258.7752434176291</v>
      </c>
      <c r="F145" s="196"/>
      <c r="G145" s="196">
        <v>2060.9641949258703</v>
      </c>
      <c r="H145" s="196"/>
      <c r="I145" s="196">
        <v>250.52807106939994</v>
      </c>
      <c r="J145" s="196"/>
      <c r="K145" s="196">
        <v>1752.947135610367</v>
      </c>
      <c r="L145" s="196"/>
      <c r="M145" s="196">
        <v>57.488988246103837</v>
      </c>
      <c r="N145" s="196"/>
      <c r="O145" s="196">
        <v>6197.8110484917588</v>
      </c>
      <c r="P145" s="196"/>
      <c r="Q145" s="196">
        <v>5989.1073431008344</v>
      </c>
      <c r="R145" s="196"/>
      <c r="S145" s="196">
        <v>4905.048065591458</v>
      </c>
      <c r="T145" s="196"/>
      <c r="U145" s="196">
        <v>1084.0592775093762</v>
      </c>
      <c r="V145" s="196"/>
      <c r="W145" s="196">
        <v>208.70370539092443</v>
      </c>
      <c r="X145" s="196"/>
      <c r="Y145" s="196">
        <v>179.86278716503983</v>
      </c>
      <c r="Z145" s="196" t="s">
        <v>212</v>
      </c>
      <c r="AA145" s="196">
        <v>28.840918225884575</v>
      </c>
      <c r="AB145" s="196"/>
    </row>
    <row r="146" spans="1:28" x14ac:dyDescent="0.25">
      <c r="A146" s="6" t="str">
        <f t="shared" si="4"/>
        <v>jul - sep2021</v>
      </c>
      <c r="B146" s="198">
        <v>2021</v>
      </c>
      <c r="C146" s="197" t="s">
        <v>168</v>
      </c>
      <c r="D146" s="196"/>
      <c r="E146" s="196">
        <v>8345.2397354882887</v>
      </c>
      <c r="F146" s="196"/>
      <c r="G146" s="196">
        <v>2104.23293116689</v>
      </c>
      <c r="H146" s="196"/>
      <c r="I146" s="196">
        <v>254.08328658701953</v>
      </c>
      <c r="J146" s="196"/>
      <c r="K146" s="196">
        <v>1791.5405517200736</v>
      </c>
      <c r="L146" s="196"/>
      <c r="M146" s="196">
        <v>58.609092859797009</v>
      </c>
      <c r="N146" s="196"/>
      <c r="O146" s="196">
        <v>6241.0068043213987</v>
      </c>
      <c r="P146" s="196"/>
      <c r="Q146" s="196">
        <v>6028.9715047547288</v>
      </c>
      <c r="R146" s="196"/>
      <c r="S146" s="196">
        <v>4925.368638318776</v>
      </c>
      <c r="T146" s="196"/>
      <c r="U146" s="196">
        <v>1103.602866435953</v>
      </c>
      <c r="V146" s="196"/>
      <c r="W146" s="196">
        <v>212.03529956667012</v>
      </c>
      <c r="X146" s="196"/>
      <c r="Y146" s="196">
        <v>186.42110739367857</v>
      </c>
      <c r="Z146" s="196"/>
      <c r="AA146" s="196">
        <v>25.614192172991523</v>
      </c>
      <c r="AB146" s="196"/>
    </row>
    <row r="147" spans="1:28" x14ac:dyDescent="0.25">
      <c r="A147" s="6" t="str">
        <f t="shared" si="4"/>
        <v>ago - oct2021</v>
      </c>
      <c r="B147" s="198">
        <v>2021</v>
      </c>
      <c r="C147" s="197" t="s">
        <v>167</v>
      </c>
      <c r="D147" s="196"/>
      <c r="E147" s="196">
        <v>8456.5112535567059</v>
      </c>
      <c r="F147" s="196"/>
      <c r="G147" s="196">
        <v>2157.6448372809855</v>
      </c>
      <c r="H147" s="196"/>
      <c r="I147" s="196">
        <v>276.94384247718574</v>
      </c>
      <c r="J147" s="196"/>
      <c r="K147" s="196">
        <v>1817.2042290021038</v>
      </c>
      <c r="L147" s="196"/>
      <c r="M147" s="196">
        <v>63.496765801695808</v>
      </c>
      <c r="N147" s="196"/>
      <c r="O147" s="196">
        <v>6298.8664162757204</v>
      </c>
      <c r="P147" s="196"/>
      <c r="Q147" s="196">
        <v>6075.8807131669146</v>
      </c>
      <c r="R147" s="196"/>
      <c r="S147" s="196">
        <v>4976.120646195468</v>
      </c>
      <c r="T147" s="196"/>
      <c r="U147" s="196">
        <v>1099.7600669714468</v>
      </c>
      <c r="V147" s="196"/>
      <c r="W147" s="196">
        <v>222.9857031088051</v>
      </c>
      <c r="X147" s="196"/>
      <c r="Y147" s="196">
        <v>192.99947573055036</v>
      </c>
      <c r="Z147" s="196"/>
      <c r="AA147" s="196">
        <v>29.986227378254746</v>
      </c>
      <c r="AB147" s="196"/>
    </row>
    <row r="148" spans="1:28" x14ac:dyDescent="0.25">
      <c r="A148" s="6" t="str">
        <f t="shared" si="4"/>
        <v>sep - nov2021</v>
      </c>
      <c r="B148" s="198">
        <v>2021</v>
      </c>
      <c r="C148" s="197" t="s">
        <v>166</v>
      </c>
      <c r="D148" s="196"/>
      <c r="E148" s="196">
        <v>8558.3621487674209</v>
      </c>
      <c r="F148" s="196"/>
      <c r="G148" s="196">
        <v>2189.9057961423873</v>
      </c>
      <c r="H148" s="196"/>
      <c r="I148" s="196">
        <v>275.42081727627294</v>
      </c>
      <c r="J148" s="196"/>
      <c r="K148" s="196">
        <v>1841.7466204807597</v>
      </c>
      <c r="L148" s="196"/>
      <c r="M148" s="196">
        <v>72.738358385354516</v>
      </c>
      <c r="N148" s="196"/>
      <c r="O148" s="196">
        <v>6368.4563526250331</v>
      </c>
      <c r="P148" s="196"/>
      <c r="Q148" s="196">
        <v>6144.1584471127644</v>
      </c>
      <c r="R148" s="196"/>
      <c r="S148" s="196">
        <v>5057.1603101357287</v>
      </c>
      <c r="T148" s="196"/>
      <c r="U148" s="196">
        <v>1086.9981369770353</v>
      </c>
      <c r="V148" s="196"/>
      <c r="W148" s="196">
        <v>224.2979055122691</v>
      </c>
      <c r="X148" s="196"/>
      <c r="Y148" s="196">
        <v>192.07285160454097</v>
      </c>
      <c r="Z148" s="196" t="s">
        <v>212</v>
      </c>
      <c r="AA148" s="196">
        <v>32.22505390772811</v>
      </c>
      <c r="AB148" s="196"/>
    </row>
    <row r="149" spans="1:28" x14ac:dyDescent="0.25">
      <c r="A149" s="6" t="str">
        <f t="shared" si="4"/>
        <v>oct - dic2021</v>
      </c>
      <c r="B149" s="198">
        <v>2021</v>
      </c>
      <c r="C149" s="197" t="s">
        <v>165</v>
      </c>
      <c r="D149" s="196"/>
      <c r="E149" s="196">
        <v>8678.2868056954048</v>
      </c>
      <c r="F149" s="196"/>
      <c r="G149" s="196">
        <v>2214.9566760637658</v>
      </c>
      <c r="H149" s="196"/>
      <c r="I149" s="196">
        <v>281.1138226576752</v>
      </c>
      <c r="J149" s="196"/>
      <c r="K149" s="196">
        <v>1854.6316239341213</v>
      </c>
      <c r="L149" s="196"/>
      <c r="M149" s="196">
        <v>79.211229471969233</v>
      </c>
      <c r="N149" s="196"/>
      <c r="O149" s="196">
        <v>6463.3301296316395</v>
      </c>
      <c r="P149" s="196"/>
      <c r="Q149" s="196">
        <v>6240.2861428877204</v>
      </c>
      <c r="R149" s="196"/>
      <c r="S149" s="196">
        <v>5136.0376416991412</v>
      </c>
      <c r="T149" s="196"/>
      <c r="U149" s="196">
        <v>1104.2485011885806</v>
      </c>
      <c r="V149" s="196"/>
      <c r="W149" s="196">
        <v>223.04398674391862</v>
      </c>
      <c r="X149" s="196"/>
      <c r="Y149" s="196">
        <v>190.78054878682005</v>
      </c>
      <c r="Z149" s="196" t="s">
        <v>212</v>
      </c>
      <c r="AA149" s="196">
        <v>32.26343795709856</v>
      </c>
      <c r="AB149" s="196"/>
    </row>
    <row r="150" spans="1:28" x14ac:dyDescent="0.25">
      <c r="A150" s="6" t="str">
        <f t="shared" si="4"/>
        <v>nov - ene2021</v>
      </c>
      <c r="B150" s="198">
        <v>2021</v>
      </c>
      <c r="C150" s="197" t="s">
        <v>164</v>
      </c>
      <c r="D150" s="196" t="s">
        <v>192</v>
      </c>
      <c r="E150" s="196">
        <v>8712.8901884523293</v>
      </c>
      <c r="F150" s="196" t="s">
        <v>192</v>
      </c>
      <c r="G150" s="196">
        <v>2165.3881781875298</v>
      </c>
      <c r="H150" s="196" t="s">
        <v>192</v>
      </c>
      <c r="I150" s="196">
        <v>273.91451589730298</v>
      </c>
      <c r="J150" s="196" t="s">
        <v>192</v>
      </c>
      <c r="K150" s="196">
        <v>1820.6448936209799</v>
      </c>
      <c r="L150" s="196" t="s">
        <v>192</v>
      </c>
      <c r="M150" s="196">
        <v>70.828768669248106</v>
      </c>
      <c r="N150" s="196" t="s">
        <v>192</v>
      </c>
      <c r="O150" s="196">
        <v>6547.5020102648004</v>
      </c>
      <c r="P150" s="196" t="s">
        <v>192</v>
      </c>
      <c r="Q150" s="196">
        <v>6326.8246134711999</v>
      </c>
      <c r="R150" s="196" t="s">
        <v>192</v>
      </c>
      <c r="S150" s="196">
        <v>5231.1294458170196</v>
      </c>
      <c r="T150" s="196" t="s">
        <v>192</v>
      </c>
      <c r="U150" s="196">
        <v>1095.6951676541701</v>
      </c>
      <c r="V150" s="196" t="s">
        <v>192</v>
      </c>
      <c r="W150" s="196">
        <v>220.67739679360301</v>
      </c>
      <c r="X150" s="196" t="s">
        <v>192</v>
      </c>
      <c r="Y150" s="196">
        <v>191.48038258476601</v>
      </c>
      <c r="Z150" s="196" t="s">
        <v>212</v>
      </c>
      <c r="AA150" s="196">
        <v>29.197014208836901</v>
      </c>
      <c r="AB150" s="196"/>
    </row>
    <row r="151" spans="1:28" x14ac:dyDescent="0.25">
      <c r="A151" s="6" t="str">
        <f t="shared" si="4"/>
        <v>dic - feb2022</v>
      </c>
      <c r="B151" s="198">
        <v>2022</v>
      </c>
      <c r="C151" s="197" t="s">
        <v>163</v>
      </c>
      <c r="D151" s="196" t="s">
        <v>192</v>
      </c>
      <c r="E151" s="196">
        <v>8768.6446671999693</v>
      </c>
      <c r="F151" s="196" t="s">
        <v>192</v>
      </c>
      <c r="G151" s="196">
        <v>2103.74416215972</v>
      </c>
      <c r="H151" s="196" t="s">
        <v>192</v>
      </c>
      <c r="I151" s="196">
        <v>266.74243249393498</v>
      </c>
      <c r="J151" s="196" t="s">
        <v>192</v>
      </c>
      <c r="K151" s="196">
        <v>1772.6553767922101</v>
      </c>
      <c r="L151" s="196" t="s">
        <v>192</v>
      </c>
      <c r="M151" s="196">
        <v>64.346352873579207</v>
      </c>
      <c r="N151" s="196" t="s">
        <v>192</v>
      </c>
      <c r="O151" s="196">
        <v>6664.9005050402502</v>
      </c>
      <c r="P151" s="196" t="s">
        <v>192</v>
      </c>
      <c r="Q151" s="196">
        <v>6449.2843574750996</v>
      </c>
      <c r="R151" s="196" t="s">
        <v>192</v>
      </c>
      <c r="S151" s="196">
        <v>5338.8582704594901</v>
      </c>
      <c r="T151" s="196" t="s">
        <v>192</v>
      </c>
      <c r="U151" s="196">
        <v>1110.4260870156099</v>
      </c>
      <c r="V151" s="196" t="s">
        <v>192</v>
      </c>
      <c r="W151" s="196">
        <v>215.616147565147</v>
      </c>
      <c r="X151" s="196" t="s">
        <v>192</v>
      </c>
      <c r="Y151" s="196">
        <v>193.31141272785499</v>
      </c>
      <c r="Z151" s="196" t="s">
        <v>212</v>
      </c>
      <c r="AA151" s="196">
        <v>22.3047348372925</v>
      </c>
      <c r="AB151" s="196"/>
    </row>
    <row r="152" spans="1:28" x14ac:dyDescent="0.25">
      <c r="A152" s="6" t="str">
        <f t="shared" si="4"/>
        <v>ene - mar2022</v>
      </c>
      <c r="B152" s="198">
        <v>2022</v>
      </c>
      <c r="C152" s="197" t="s">
        <v>162</v>
      </c>
      <c r="D152" s="196" t="s">
        <v>192</v>
      </c>
      <c r="E152" s="196">
        <v>8797.5610642690299</v>
      </c>
      <c r="F152" s="196" t="s">
        <v>192</v>
      </c>
      <c r="G152" s="196">
        <v>2110.6548904687202</v>
      </c>
      <c r="H152" s="196" t="s">
        <v>192</v>
      </c>
      <c r="I152" s="196">
        <v>272.13592014558901</v>
      </c>
      <c r="J152" s="196" t="s">
        <v>192</v>
      </c>
      <c r="K152" s="196">
        <v>1780.9922360489099</v>
      </c>
      <c r="L152" s="196" t="s">
        <v>192</v>
      </c>
      <c r="M152" s="196">
        <v>57.5267342742209</v>
      </c>
      <c r="N152" s="196" t="s">
        <v>192</v>
      </c>
      <c r="O152" s="196">
        <v>6686.9061738003102</v>
      </c>
      <c r="P152" s="196" t="s">
        <v>192</v>
      </c>
      <c r="Q152" s="196">
        <v>6467.4162620310099</v>
      </c>
      <c r="R152" s="196" t="s">
        <v>192</v>
      </c>
      <c r="S152" s="196">
        <v>5367.80652746737</v>
      </c>
      <c r="T152" s="196" t="s">
        <v>192</v>
      </c>
      <c r="U152" s="196">
        <v>1099.6097345636399</v>
      </c>
      <c r="V152" s="196" t="s">
        <v>192</v>
      </c>
      <c r="W152" s="196">
        <v>219.48991176930201</v>
      </c>
      <c r="X152" s="196" t="s">
        <v>192</v>
      </c>
      <c r="Y152" s="196">
        <v>194.47453747053899</v>
      </c>
      <c r="Z152" s="196" t="s">
        <v>212</v>
      </c>
      <c r="AA152" s="196">
        <v>25.015374298763199</v>
      </c>
      <c r="AB152" s="196"/>
    </row>
    <row r="153" spans="1:28" x14ac:dyDescent="0.25">
      <c r="A153" s="6" t="str">
        <f t="shared" si="4"/>
        <v>feb - abr2022</v>
      </c>
      <c r="B153" s="198">
        <v>2022</v>
      </c>
      <c r="C153" s="197" t="s">
        <v>173</v>
      </c>
      <c r="D153" s="196" t="s">
        <v>192</v>
      </c>
      <c r="E153" s="196">
        <v>8835.4776322722901</v>
      </c>
      <c r="F153" s="196" t="s">
        <v>192</v>
      </c>
      <c r="G153" s="196">
        <v>2132.8179957786201</v>
      </c>
      <c r="H153" s="196" t="s">
        <v>192</v>
      </c>
      <c r="I153" s="196">
        <v>276.56304008485199</v>
      </c>
      <c r="J153" s="196" t="s">
        <v>192</v>
      </c>
      <c r="K153" s="196">
        <v>1799.1172610880501</v>
      </c>
      <c r="L153" s="196" t="s">
        <v>192</v>
      </c>
      <c r="M153" s="196">
        <v>57.137694605715602</v>
      </c>
      <c r="N153" s="196" t="s">
        <v>192</v>
      </c>
      <c r="O153" s="196">
        <v>6702.6596364936704</v>
      </c>
      <c r="P153" s="196" t="s">
        <v>192</v>
      </c>
      <c r="Q153" s="196">
        <v>6466.6231922807901</v>
      </c>
      <c r="R153" s="196" t="s">
        <v>192</v>
      </c>
      <c r="S153" s="196">
        <v>5341.4789387307701</v>
      </c>
      <c r="T153" s="196" t="s">
        <v>192</v>
      </c>
      <c r="U153" s="196">
        <v>1125.14425355002</v>
      </c>
      <c r="V153" s="196" t="s">
        <v>192</v>
      </c>
      <c r="W153" s="196">
        <v>236.03644421287899</v>
      </c>
      <c r="X153" s="196" t="s">
        <v>192</v>
      </c>
      <c r="Y153" s="196">
        <v>208.98032604366901</v>
      </c>
      <c r="Z153" s="196" t="s">
        <v>192</v>
      </c>
      <c r="AA153" s="196">
        <v>27.0561181692105</v>
      </c>
      <c r="AB153" s="196"/>
    </row>
    <row r="154" spans="1:28" x14ac:dyDescent="0.25">
      <c r="A154" s="6" t="str">
        <f t="shared" si="4"/>
        <v>mar - may2022</v>
      </c>
      <c r="B154" s="198">
        <v>2022</v>
      </c>
      <c r="C154" s="197" t="s">
        <v>172</v>
      </c>
      <c r="D154" s="196" t="s">
        <v>192</v>
      </c>
      <c r="E154" s="196">
        <v>8855.0758705985409</v>
      </c>
      <c r="F154" s="196" t="s">
        <v>192</v>
      </c>
      <c r="G154" s="196">
        <v>2228.3708633589199</v>
      </c>
      <c r="H154" s="196" t="s">
        <v>192</v>
      </c>
      <c r="I154" s="196">
        <v>288.41468405168598</v>
      </c>
      <c r="J154" s="196" t="s">
        <v>192</v>
      </c>
      <c r="K154" s="196">
        <v>1881.6515165897199</v>
      </c>
      <c r="L154" s="196" t="s">
        <v>192</v>
      </c>
      <c r="M154" s="196">
        <v>58.304662717508599</v>
      </c>
      <c r="N154" s="196" t="s">
        <v>192</v>
      </c>
      <c r="O154" s="196">
        <v>6626.7050072396296</v>
      </c>
      <c r="P154" s="196" t="s">
        <v>192</v>
      </c>
      <c r="Q154" s="196">
        <v>6391.7929098969798</v>
      </c>
      <c r="R154" s="196" t="s">
        <v>192</v>
      </c>
      <c r="S154" s="196">
        <v>5277.1143888213401</v>
      </c>
      <c r="T154" s="196" t="s">
        <v>192</v>
      </c>
      <c r="U154" s="196">
        <v>1114.67852107564</v>
      </c>
      <c r="V154" s="196" t="s">
        <v>192</v>
      </c>
      <c r="W154" s="196">
        <v>234.91209734264299</v>
      </c>
      <c r="X154" s="196" t="s">
        <v>192</v>
      </c>
      <c r="Y154" s="196">
        <v>201.818818267642</v>
      </c>
      <c r="Z154" s="196" t="s">
        <v>192</v>
      </c>
      <c r="AA154" s="196">
        <v>33.093279075000503</v>
      </c>
      <c r="AB154" s="196"/>
    </row>
    <row r="155" spans="1:28" x14ac:dyDescent="0.25">
      <c r="A155" s="6" t="str">
        <f t="shared" si="4"/>
        <v>abr - jun2022</v>
      </c>
      <c r="B155" s="198">
        <v>2022</v>
      </c>
      <c r="C155" s="197" t="s">
        <v>171</v>
      </c>
      <c r="D155" s="196" t="s">
        <v>192</v>
      </c>
      <c r="E155" s="196">
        <v>8838.4320758244703</v>
      </c>
      <c r="F155" s="196" t="s">
        <v>192</v>
      </c>
      <c r="G155" s="196">
        <v>2191.30664760231</v>
      </c>
      <c r="H155" s="196" t="s">
        <v>192</v>
      </c>
      <c r="I155" s="196">
        <v>288.856758355522</v>
      </c>
      <c r="J155" s="196" t="s">
        <v>192</v>
      </c>
      <c r="K155" s="196">
        <v>1843.4178134573799</v>
      </c>
      <c r="L155" s="196" t="s">
        <v>192</v>
      </c>
      <c r="M155" s="196">
        <v>59.032075789402299</v>
      </c>
      <c r="N155" s="196" t="s">
        <v>192</v>
      </c>
      <c r="O155" s="196">
        <v>6647.1254282221598</v>
      </c>
      <c r="P155" s="196" t="s">
        <v>192</v>
      </c>
      <c r="Q155" s="196">
        <v>6409.0120157338797</v>
      </c>
      <c r="R155" s="196" t="s">
        <v>192</v>
      </c>
      <c r="S155" s="196">
        <v>5293.9249918860696</v>
      </c>
      <c r="T155" s="196" t="s">
        <v>192</v>
      </c>
      <c r="U155" s="196">
        <v>1115.0870238478101</v>
      </c>
      <c r="V155" s="196" t="s">
        <v>192</v>
      </c>
      <c r="W155" s="196">
        <v>238.11341248828001</v>
      </c>
      <c r="X155" s="196" t="s">
        <v>192</v>
      </c>
      <c r="Y155" s="196">
        <v>207.34750448432001</v>
      </c>
      <c r="Z155" s="196" t="s">
        <v>212</v>
      </c>
      <c r="AA155" s="196">
        <v>30.765908003959201</v>
      </c>
      <c r="AB155" s="196"/>
    </row>
    <row r="156" spans="1:28" x14ac:dyDescent="0.25">
      <c r="A156" s="6" t="str">
        <f t="shared" si="4"/>
        <v>may - jul2022</v>
      </c>
      <c r="B156" s="198">
        <v>2022</v>
      </c>
      <c r="C156" s="197" t="s">
        <v>170</v>
      </c>
      <c r="D156" s="196" t="s">
        <v>192</v>
      </c>
      <c r="E156" s="196">
        <v>8849.8313266449404</v>
      </c>
      <c r="F156" s="196" t="s">
        <v>192</v>
      </c>
      <c r="G156" s="196">
        <v>2173.1491206348201</v>
      </c>
      <c r="H156" s="196" t="s">
        <v>192</v>
      </c>
      <c r="I156" s="196">
        <v>291.73497971834502</v>
      </c>
      <c r="J156" s="196" t="s">
        <v>192</v>
      </c>
      <c r="K156" s="196">
        <v>1822.4785749934899</v>
      </c>
      <c r="L156" s="196" t="s">
        <v>192</v>
      </c>
      <c r="M156" s="196">
        <v>58.9355659229822</v>
      </c>
      <c r="N156" s="196" t="s">
        <v>192</v>
      </c>
      <c r="O156" s="196">
        <v>6676.6822060101304</v>
      </c>
      <c r="P156" s="196" t="s">
        <v>192</v>
      </c>
      <c r="Q156" s="196">
        <v>6441.1098706026196</v>
      </c>
      <c r="R156" s="196" t="s">
        <v>192</v>
      </c>
      <c r="S156" s="196">
        <v>5326.5237927964299</v>
      </c>
      <c r="T156" s="196" t="s">
        <v>192</v>
      </c>
      <c r="U156" s="196">
        <v>1114.5860778061999</v>
      </c>
      <c r="V156" s="196" t="s">
        <v>192</v>
      </c>
      <c r="W156" s="196">
        <v>235.572335407503</v>
      </c>
      <c r="X156" s="196" t="s">
        <v>192</v>
      </c>
      <c r="Y156" s="196">
        <v>205.46511067167199</v>
      </c>
      <c r="Z156" s="196" t="s">
        <v>212</v>
      </c>
      <c r="AA156" s="196">
        <v>30.107224735830599</v>
      </c>
      <c r="AB156" s="196"/>
    </row>
    <row r="157" spans="1:28" x14ac:dyDescent="0.25">
      <c r="A157" s="6" t="str">
        <f t="shared" si="4"/>
        <v>jun - ago2022</v>
      </c>
      <c r="B157" s="198">
        <v>2022</v>
      </c>
      <c r="C157" s="197" t="s">
        <v>169</v>
      </c>
      <c r="D157" s="196" t="s">
        <v>192</v>
      </c>
      <c r="E157" s="196">
        <v>8853.2931868608794</v>
      </c>
      <c r="F157" s="196" t="s">
        <v>192</v>
      </c>
      <c r="G157" s="196">
        <v>2178.2190320494701</v>
      </c>
      <c r="H157" s="196" t="s">
        <v>192</v>
      </c>
      <c r="I157" s="196">
        <v>292.97661997458499</v>
      </c>
      <c r="J157" s="196" t="s">
        <v>192</v>
      </c>
      <c r="K157" s="196">
        <v>1826.75566612898</v>
      </c>
      <c r="L157" s="196" t="s">
        <v>192</v>
      </c>
      <c r="M157" s="196">
        <v>58.486745945906897</v>
      </c>
      <c r="N157" s="196" t="s">
        <v>192</v>
      </c>
      <c r="O157" s="196">
        <v>6675.0741548114102</v>
      </c>
      <c r="P157" s="196" t="s">
        <v>192</v>
      </c>
      <c r="Q157" s="196">
        <v>6442.2049793166998</v>
      </c>
      <c r="R157" s="196" t="s">
        <v>192</v>
      </c>
      <c r="S157" s="196">
        <v>5321.7842843311</v>
      </c>
      <c r="T157" s="196" t="s">
        <v>192</v>
      </c>
      <c r="U157" s="196">
        <v>1120.42069498559</v>
      </c>
      <c r="V157" s="196" t="s">
        <v>192</v>
      </c>
      <c r="W157" s="196">
        <v>232.869175494714</v>
      </c>
      <c r="X157" s="196" t="s">
        <v>192</v>
      </c>
      <c r="Y157" s="196">
        <v>203.79554550724001</v>
      </c>
      <c r="Z157" s="196" t="s">
        <v>212</v>
      </c>
      <c r="AA157" s="196">
        <v>29.073629987474401</v>
      </c>
      <c r="AB157" s="196"/>
    </row>
    <row r="158" spans="1:28" x14ac:dyDescent="0.25">
      <c r="A158" s="6" t="str">
        <f t="shared" si="4"/>
        <v>jul - sep2022</v>
      </c>
      <c r="B158" s="198">
        <v>2022</v>
      </c>
      <c r="C158" s="197" t="s">
        <v>168</v>
      </c>
      <c r="D158" s="196" t="s">
        <v>192</v>
      </c>
      <c r="E158" s="196">
        <v>8843.5442081889796</v>
      </c>
      <c r="F158" s="196" t="s">
        <v>192</v>
      </c>
      <c r="G158" s="196">
        <v>2209.5209663401301</v>
      </c>
      <c r="H158" s="196" t="s">
        <v>192</v>
      </c>
      <c r="I158" s="196">
        <v>293.14506317204098</v>
      </c>
      <c r="J158" s="196" t="s">
        <v>192</v>
      </c>
      <c r="K158" s="196">
        <v>1858.8831843108601</v>
      </c>
      <c r="L158" s="196" t="s">
        <v>192</v>
      </c>
      <c r="M158" s="196">
        <v>57.492718857227302</v>
      </c>
      <c r="N158" s="196" t="s">
        <v>192</v>
      </c>
      <c r="O158" s="196">
        <v>6634.0232418488504</v>
      </c>
      <c r="P158" s="196" t="s">
        <v>192</v>
      </c>
      <c r="Q158" s="196">
        <v>6407.4928163013501</v>
      </c>
      <c r="R158" s="196" t="s">
        <v>192</v>
      </c>
      <c r="S158" s="196">
        <v>5294.9790751232104</v>
      </c>
      <c r="T158" s="196" t="s">
        <v>192</v>
      </c>
      <c r="U158" s="196">
        <v>1112.51374117814</v>
      </c>
      <c r="V158" s="196" t="s">
        <v>192</v>
      </c>
      <c r="W158" s="196">
        <v>226.530425547504</v>
      </c>
      <c r="X158" s="196" t="s">
        <v>192</v>
      </c>
      <c r="Y158" s="196">
        <v>200.81804329303699</v>
      </c>
      <c r="Z158" s="196" t="s">
        <v>212</v>
      </c>
      <c r="AA158" s="196">
        <v>25.712382254467101</v>
      </c>
      <c r="AB158" s="196"/>
    </row>
    <row r="159" spans="1:28" x14ac:dyDescent="0.25">
      <c r="A159" s="6" t="str">
        <f t="shared" si="4"/>
        <v>ago - oct2022</v>
      </c>
      <c r="B159" s="198">
        <v>2022</v>
      </c>
      <c r="C159" s="197" t="s">
        <v>167</v>
      </c>
      <c r="D159" s="196" t="s">
        <v>192</v>
      </c>
      <c r="E159" s="196">
        <v>8869.3230112416895</v>
      </c>
      <c r="F159" s="196" t="s">
        <v>192</v>
      </c>
      <c r="G159" s="196">
        <v>2216.0704517228701</v>
      </c>
      <c r="H159" s="196" t="s">
        <v>192</v>
      </c>
      <c r="I159" s="196">
        <v>282.09001422853498</v>
      </c>
      <c r="J159" s="196" t="s">
        <v>192</v>
      </c>
      <c r="K159" s="196">
        <v>1872.85212350558</v>
      </c>
      <c r="L159" s="196" t="s">
        <v>192</v>
      </c>
      <c r="M159" s="196">
        <v>61.1283139887597</v>
      </c>
      <c r="N159" s="196" t="s">
        <v>192</v>
      </c>
      <c r="O159" s="196">
        <v>6653.2525595188199</v>
      </c>
      <c r="P159" s="196" t="s">
        <v>192</v>
      </c>
      <c r="Q159" s="196">
        <v>6422.7309338728601</v>
      </c>
      <c r="R159" s="196" t="s">
        <v>192</v>
      </c>
      <c r="S159" s="196">
        <v>5313.1431519570297</v>
      </c>
      <c r="T159" s="196" t="s">
        <v>192</v>
      </c>
      <c r="U159" s="196">
        <v>1109.58778191583</v>
      </c>
      <c r="V159" s="196" t="s">
        <v>192</v>
      </c>
      <c r="W159" s="196">
        <v>230.521625645961</v>
      </c>
      <c r="X159" s="196" t="s">
        <v>192</v>
      </c>
      <c r="Y159" s="196">
        <v>207.33733655511301</v>
      </c>
      <c r="Z159" s="196" t="s">
        <v>212</v>
      </c>
      <c r="AA159" s="196">
        <v>23.1842890908475</v>
      </c>
      <c r="AB159" s="196"/>
    </row>
    <row r="160" spans="1:28" x14ac:dyDescent="0.25">
      <c r="A160" s="6" t="str">
        <f t="shared" si="4"/>
        <v>sep - nov2022</v>
      </c>
      <c r="B160" s="198">
        <v>2022</v>
      </c>
      <c r="C160" s="197" t="s">
        <v>166</v>
      </c>
      <c r="D160" s="196" t="s">
        <v>192</v>
      </c>
      <c r="E160" s="196">
        <v>8883.0904340420802</v>
      </c>
      <c r="F160" s="196" t="s">
        <v>192</v>
      </c>
      <c r="G160" s="196">
        <v>2148.4282875275499</v>
      </c>
      <c r="H160" s="196" t="s">
        <v>192</v>
      </c>
      <c r="I160" s="196">
        <v>280.89973491797502</v>
      </c>
      <c r="J160" s="196" t="s">
        <v>192</v>
      </c>
      <c r="K160" s="196">
        <v>1807.30066429264</v>
      </c>
      <c r="L160" s="196" t="s">
        <v>192</v>
      </c>
      <c r="M160" s="196">
        <v>60.227888316939598</v>
      </c>
      <c r="N160" s="196" t="s">
        <v>192</v>
      </c>
      <c r="O160" s="196">
        <v>6734.6621465145299</v>
      </c>
      <c r="P160" s="196" t="s">
        <v>192</v>
      </c>
      <c r="Q160" s="196">
        <v>6496.0147877802201</v>
      </c>
      <c r="R160" s="196" t="s">
        <v>192</v>
      </c>
      <c r="S160" s="196">
        <v>5398.89806287803</v>
      </c>
      <c r="T160" s="196" t="s">
        <v>192</v>
      </c>
      <c r="U160" s="196">
        <v>1097.1167249021901</v>
      </c>
      <c r="V160" s="196" t="s">
        <v>192</v>
      </c>
      <c r="W160" s="196">
        <v>238.64735873430601</v>
      </c>
      <c r="X160" s="196" t="s">
        <v>192</v>
      </c>
      <c r="Y160" s="196">
        <v>217.683392104896</v>
      </c>
      <c r="Z160" s="196" t="s">
        <v>212</v>
      </c>
      <c r="AA160" s="196">
        <v>20.963966629409601</v>
      </c>
      <c r="AB160" s="196"/>
    </row>
    <row r="161" spans="1:28" x14ac:dyDescent="0.25">
      <c r="A161" s="6" t="str">
        <f t="shared" si="4"/>
        <v>oct - dic2022</v>
      </c>
      <c r="B161" s="198">
        <v>2022</v>
      </c>
      <c r="C161" s="197" t="s">
        <v>165</v>
      </c>
      <c r="D161" s="196" t="s">
        <v>192</v>
      </c>
      <c r="E161" s="196">
        <v>8965.2303799361598</v>
      </c>
      <c r="F161" s="196" t="s">
        <v>192</v>
      </c>
      <c r="G161" s="196">
        <v>2163.1670424664198</v>
      </c>
      <c r="H161" s="196" t="s">
        <v>192</v>
      </c>
      <c r="I161" s="196">
        <v>286.44962166972101</v>
      </c>
      <c r="J161" s="196" t="s">
        <v>192</v>
      </c>
      <c r="K161" s="196">
        <v>1808.48497509154</v>
      </c>
      <c r="L161" s="196" t="s">
        <v>192</v>
      </c>
      <c r="M161" s="196">
        <v>68.232445705166796</v>
      </c>
      <c r="N161" s="196" t="s">
        <v>192</v>
      </c>
      <c r="O161" s="196">
        <v>6802.06333746973</v>
      </c>
      <c r="P161" s="196" t="s">
        <v>192</v>
      </c>
      <c r="Q161" s="196">
        <v>6558.0775705240203</v>
      </c>
      <c r="R161" s="196" t="s">
        <v>192</v>
      </c>
      <c r="S161" s="196">
        <v>5442.2749520924899</v>
      </c>
      <c r="T161" s="196" t="s">
        <v>192</v>
      </c>
      <c r="U161" s="196">
        <v>1115.8026184315299</v>
      </c>
      <c r="V161" s="196" t="s">
        <v>192</v>
      </c>
      <c r="W161" s="196">
        <v>243.98576694571099</v>
      </c>
      <c r="X161" s="196" t="s">
        <v>192</v>
      </c>
      <c r="Y161" s="196">
        <v>224.21532598378499</v>
      </c>
      <c r="Z161" s="196" t="s">
        <v>212</v>
      </c>
      <c r="AA161" s="196">
        <v>19.770440961925999</v>
      </c>
      <c r="AB161" s="196"/>
    </row>
    <row r="162" spans="1:28" x14ac:dyDescent="0.25">
      <c r="A162" s="6" t="str">
        <f t="shared" si="4"/>
        <v>nov - ene2022</v>
      </c>
      <c r="B162" s="198">
        <v>2022</v>
      </c>
      <c r="C162" s="197" t="s">
        <v>164</v>
      </c>
      <c r="D162" s="196" t="s">
        <v>192</v>
      </c>
      <c r="E162" s="196">
        <v>9008.5458557934198</v>
      </c>
      <c r="F162" s="196" t="s">
        <v>192</v>
      </c>
      <c r="G162" s="196">
        <v>2155.5157060445199</v>
      </c>
      <c r="H162" s="196" t="s">
        <v>192</v>
      </c>
      <c r="I162" s="196">
        <v>300.44871445523302</v>
      </c>
      <c r="J162" s="196" t="s">
        <v>192</v>
      </c>
      <c r="K162" s="196">
        <v>1789.0881686393</v>
      </c>
      <c r="L162" s="196" t="s">
        <v>192</v>
      </c>
      <c r="M162" s="196">
        <v>65.978822949987702</v>
      </c>
      <c r="N162" s="196" t="s">
        <v>192</v>
      </c>
      <c r="O162" s="196">
        <v>6853.0301497488899</v>
      </c>
      <c r="P162" s="196" t="s">
        <v>192</v>
      </c>
      <c r="Q162" s="196">
        <v>6621.8002131685398</v>
      </c>
      <c r="R162" s="196" t="s">
        <v>192</v>
      </c>
      <c r="S162" s="196">
        <v>5481.0148815320499</v>
      </c>
      <c r="T162" s="196" t="s">
        <v>192</v>
      </c>
      <c r="U162" s="196">
        <v>1140.7853316364899</v>
      </c>
      <c r="V162" s="196" t="s">
        <v>192</v>
      </c>
      <c r="W162" s="196">
        <v>231.22993658035799</v>
      </c>
      <c r="X162" s="196" t="s">
        <v>192</v>
      </c>
      <c r="Y162" s="196">
        <v>212.276616674948</v>
      </c>
      <c r="Z162" s="196" t="s">
        <v>212</v>
      </c>
      <c r="AA162" s="196">
        <v>18.953319905409501</v>
      </c>
      <c r="AB162" s="196"/>
    </row>
    <row r="163" spans="1:28" x14ac:dyDescent="0.25">
      <c r="A163" s="6" t="str">
        <f t="shared" si="4"/>
        <v>dic - feb2023</v>
      </c>
      <c r="B163" s="198">
        <v>2023</v>
      </c>
      <c r="C163" s="197" t="s">
        <v>163</v>
      </c>
      <c r="D163" s="196" t="s">
        <v>192</v>
      </c>
      <c r="E163" s="196">
        <v>9030.1615912109901</v>
      </c>
      <c r="F163" s="196" t="s">
        <v>192</v>
      </c>
      <c r="G163" s="196">
        <v>2172.0163781808501</v>
      </c>
      <c r="H163" s="196" t="s">
        <v>192</v>
      </c>
      <c r="I163" s="196">
        <v>289.59905448172202</v>
      </c>
      <c r="J163" s="196" t="s">
        <v>192</v>
      </c>
      <c r="K163" s="196">
        <v>1816.83799364266</v>
      </c>
      <c r="L163" s="196" t="s">
        <v>192</v>
      </c>
      <c r="M163" s="196">
        <v>65.579330056472003</v>
      </c>
      <c r="N163" s="196" t="s">
        <v>192</v>
      </c>
      <c r="O163" s="196">
        <v>6858.1452130301304</v>
      </c>
      <c r="P163" s="196" t="s">
        <v>192</v>
      </c>
      <c r="Q163" s="196">
        <v>6639.7245825748096</v>
      </c>
      <c r="R163" s="196" t="s">
        <v>192</v>
      </c>
      <c r="S163" s="196">
        <v>5442.6762824787802</v>
      </c>
      <c r="T163" s="196" t="s">
        <v>192</v>
      </c>
      <c r="U163" s="196">
        <v>1197.0483000960301</v>
      </c>
      <c r="V163" s="196" t="s">
        <v>192</v>
      </c>
      <c r="W163" s="196">
        <v>218.42063045532399</v>
      </c>
      <c r="X163" s="196" t="s">
        <v>192</v>
      </c>
      <c r="Y163" s="196">
        <v>197.67672773477901</v>
      </c>
      <c r="Z163" s="196" t="s">
        <v>212</v>
      </c>
      <c r="AA163" s="196">
        <v>20.743902720544501</v>
      </c>
      <c r="AB163" s="196"/>
    </row>
    <row r="164" spans="1:28" x14ac:dyDescent="0.25">
      <c r="A164" s="6" t="str">
        <f t="shared" si="4"/>
        <v>ene - mar2023</v>
      </c>
      <c r="B164" s="198">
        <v>2023</v>
      </c>
      <c r="C164" s="197" t="s">
        <v>162</v>
      </c>
      <c r="D164" s="196" t="s">
        <v>192</v>
      </c>
      <c r="E164" s="196">
        <v>9006.1450081268304</v>
      </c>
      <c r="F164" s="196" t="s">
        <v>192</v>
      </c>
      <c r="G164" s="196">
        <v>2188.2510856857898</v>
      </c>
      <c r="H164" s="196" t="s">
        <v>192</v>
      </c>
      <c r="I164" s="196">
        <v>283.03921680943301</v>
      </c>
      <c r="J164" s="196" t="s">
        <v>192</v>
      </c>
      <c r="K164" s="196">
        <v>1846.4014158739999</v>
      </c>
      <c r="L164" s="196" t="s">
        <v>192</v>
      </c>
      <c r="M164" s="196">
        <v>58.810453002363403</v>
      </c>
      <c r="N164" s="196" t="s">
        <v>192</v>
      </c>
      <c r="O164" s="196">
        <v>6817.8939224410396</v>
      </c>
      <c r="P164" s="196" t="s">
        <v>192</v>
      </c>
      <c r="Q164" s="196">
        <v>6613.4516129362501</v>
      </c>
      <c r="R164" s="196" t="s">
        <v>192</v>
      </c>
      <c r="S164" s="196">
        <v>5419.7023341628601</v>
      </c>
      <c r="T164" s="196" t="s">
        <v>192</v>
      </c>
      <c r="U164" s="196">
        <v>1193.74927877339</v>
      </c>
      <c r="V164" s="196" t="s">
        <v>192</v>
      </c>
      <c r="W164" s="196">
        <v>204.44230950478601</v>
      </c>
      <c r="X164" s="196" t="s">
        <v>192</v>
      </c>
      <c r="Y164" s="196">
        <v>181.465035986537</v>
      </c>
      <c r="Z164" s="196" t="s">
        <v>192</v>
      </c>
      <c r="AA164" s="196">
        <v>22.977273518249099</v>
      </c>
      <c r="AB164" s="196"/>
    </row>
    <row r="165" spans="1:28" x14ac:dyDescent="0.25">
      <c r="A165" s="6" t="str">
        <f t="shared" si="4"/>
        <v>feb - abr2023</v>
      </c>
      <c r="B165" s="198">
        <v>2023</v>
      </c>
      <c r="C165" s="197" t="s">
        <v>173</v>
      </c>
      <c r="D165" s="196" t="s">
        <v>192</v>
      </c>
      <c r="E165" s="196">
        <v>9006.7291141666301</v>
      </c>
      <c r="F165" s="196" t="s">
        <v>192</v>
      </c>
      <c r="G165" s="196">
        <v>2219.6993428525702</v>
      </c>
      <c r="H165" s="196" t="s">
        <v>192</v>
      </c>
      <c r="I165" s="196">
        <v>282.464365815951</v>
      </c>
      <c r="J165" s="196" t="s">
        <v>192</v>
      </c>
      <c r="K165" s="196">
        <v>1881.4298639589799</v>
      </c>
      <c r="L165" s="196" t="s">
        <v>192</v>
      </c>
      <c r="M165" s="196">
        <v>55.805113077636598</v>
      </c>
      <c r="N165" s="196" t="s">
        <v>192</v>
      </c>
      <c r="O165" s="196">
        <v>6787.0297713140699</v>
      </c>
      <c r="P165" s="196" t="s">
        <v>192</v>
      </c>
      <c r="Q165" s="196">
        <v>6578.61385082985</v>
      </c>
      <c r="R165" s="196" t="s">
        <v>192</v>
      </c>
      <c r="S165" s="196">
        <v>5389.5214739958901</v>
      </c>
      <c r="T165" s="196" t="s">
        <v>192</v>
      </c>
      <c r="U165" s="196">
        <v>1189.0923768339601</v>
      </c>
      <c r="V165" s="196" t="s">
        <v>192</v>
      </c>
      <c r="W165" s="196">
        <v>208.415920484216</v>
      </c>
      <c r="X165" s="196" t="s">
        <v>192</v>
      </c>
      <c r="Y165" s="196">
        <v>183.286883321311</v>
      </c>
      <c r="Z165" s="196" t="s">
        <v>192</v>
      </c>
      <c r="AA165" s="196">
        <v>25.129037162905099</v>
      </c>
      <c r="AB165" s="196"/>
    </row>
    <row r="166" spans="1:28" x14ac:dyDescent="0.25">
      <c r="A166" s="6" t="str">
        <f t="shared" si="4"/>
        <v>mar - may2023</v>
      </c>
      <c r="B166" s="198">
        <v>2023</v>
      </c>
      <c r="C166" s="197" t="s">
        <v>172</v>
      </c>
      <c r="D166" s="196" t="s">
        <v>192</v>
      </c>
      <c r="E166" s="196">
        <v>9034.2307928411992</v>
      </c>
      <c r="F166" s="196" t="s">
        <v>192</v>
      </c>
      <c r="G166" s="196">
        <v>2225.0401955643301</v>
      </c>
      <c r="H166" s="196" t="s">
        <v>192</v>
      </c>
      <c r="I166" s="196">
        <v>291.64242223876801</v>
      </c>
      <c r="J166" s="196" t="s">
        <v>192</v>
      </c>
      <c r="K166" s="196">
        <v>1877.8904943084799</v>
      </c>
      <c r="L166" s="196" t="s">
        <v>192</v>
      </c>
      <c r="M166" s="196">
        <v>55.507279017081402</v>
      </c>
      <c r="N166" s="196" t="s">
        <v>192</v>
      </c>
      <c r="O166" s="196">
        <v>6809.19059727687</v>
      </c>
      <c r="P166" s="196" t="s">
        <v>192</v>
      </c>
      <c r="Q166" s="196">
        <v>6591.3759808058903</v>
      </c>
      <c r="R166" s="196" t="s">
        <v>192</v>
      </c>
      <c r="S166" s="196">
        <v>5426.0312087250604</v>
      </c>
      <c r="T166" s="196" t="s">
        <v>192</v>
      </c>
      <c r="U166" s="196">
        <v>1165.3447720808299</v>
      </c>
      <c r="V166" s="196" t="s">
        <v>192</v>
      </c>
      <c r="W166" s="196">
        <v>217.81461647098101</v>
      </c>
      <c r="X166" s="196" t="s">
        <v>192</v>
      </c>
      <c r="Y166" s="196">
        <v>192.554538253945</v>
      </c>
      <c r="Z166" s="196" t="s">
        <v>192</v>
      </c>
      <c r="AA166" s="196">
        <v>25.260078217035801</v>
      </c>
      <c r="AB166" s="196"/>
    </row>
    <row r="167" spans="1:28" x14ac:dyDescent="0.25">
      <c r="A167" s="6" t="str">
        <f t="shared" si="4"/>
        <v>abr - jun2023</v>
      </c>
      <c r="B167" s="198">
        <v>2023</v>
      </c>
      <c r="C167" s="197" t="s">
        <v>171</v>
      </c>
      <c r="D167" s="196" t="s">
        <v>192</v>
      </c>
      <c r="E167" s="196">
        <v>9035.1139835172307</v>
      </c>
      <c r="F167" s="196" t="s">
        <v>192</v>
      </c>
      <c r="G167" s="196">
        <v>2218.3605519701</v>
      </c>
      <c r="H167" s="196" t="s">
        <v>192</v>
      </c>
      <c r="I167" s="196">
        <v>297.71151975789701</v>
      </c>
      <c r="J167" s="196" t="s">
        <v>192</v>
      </c>
      <c r="K167" s="196">
        <v>1865.85882848152</v>
      </c>
      <c r="L167" s="196" t="s">
        <v>192</v>
      </c>
      <c r="M167" s="196">
        <v>54.790203730685</v>
      </c>
      <c r="N167" s="196" t="s">
        <v>192</v>
      </c>
      <c r="O167" s="196">
        <v>6816.7534315471303</v>
      </c>
      <c r="P167" s="196" t="s">
        <v>192</v>
      </c>
      <c r="Q167" s="196">
        <v>6596.4939842226004</v>
      </c>
      <c r="R167" s="196" t="s">
        <v>192</v>
      </c>
      <c r="S167" s="196">
        <v>5428.2932322464903</v>
      </c>
      <c r="T167" s="196" t="s">
        <v>192</v>
      </c>
      <c r="U167" s="196">
        <v>1168.20075197611</v>
      </c>
      <c r="V167" s="196" t="s">
        <v>192</v>
      </c>
      <c r="W167" s="196">
        <v>220.25944732452601</v>
      </c>
      <c r="X167" s="196" t="s">
        <v>192</v>
      </c>
      <c r="Y167" s="196">
        <v>196.60452190761799</v>
      </c>
      <c r="Z167" s="196" t="s">
        <v>192</v>
      </c>
      <c r="AA167" s="196">
        <v>23.654925416907801</v>
      </c>
      <c r="AB167" s="196"/>
    </row>
    <row r="168" spans="1:28" x14ac:dyDescent="0.25">
      <c r="A168" s="6" t="str">
        <f t="shared" ref="A168:A175" si="5">+LOWER(C168)&amp;B168</f>
        <v>may - jul2023</v>
      </c>
      <c r="B168" s="198">
        <v>2023</v>
      </c>
      <c r="C168" s="197" t="s">
        <v>170</v>
      </c>
      <c r="D168" s="196" t="s">
        <v>192</v>
      </c>
      <c r="E168" s="196">
        <v>9028.6472601108853</v>
      </c>
      <c r="F168" s="196" t="s">
        <v>192</v>
      </c>
      <c r="G168" s="196">
        <v>2207.9771438954658</v>
      </c>
      <c r="H168" s="196" t="s">
        <v>192</v>
      </c>
      <c r="I168" s="196">
        <v>290.16857491313334</v>
      </c>
      <c r="J168" s="196" t="s">
        <v>192</v>
      </c>
      <c r="K168" s="196">
        <v>1861.5538918012749</v>
      </c>
      <c r="L168" s="196" t="s">
        <v>192</v>
      </c>
      <c r="M168" s="196">
        <v>56.254677181057488</v>
      </c>
      <c r="N168" s="196" t="s">
        <v>192</v>
      </c>
      <c r="O168" s="196">
        <v>6820.6701162154186</v>
      </c>
      <c r="P168" s="196" t="s">
        <v>192</v>
      </c>
      <c r="Q168" s="196">
        <v>6603.3259892816432</v>
      </c>
      <c r="R168" s="196" t="s">
        <v>192</v>
      </c>
      <c r="S168" s="196">
        <v>5426.8809272629906</v>
      </c>
      <c r="T168" s="196" t="s">
        <v>192</v>
      </c>
      <c r="U168" s="196">
        <v>1176.4450620186526</v>
      </c>
      <c r="V168" s="196" t="s">
        <v>192</v>
      </c>
      <c r="W168" s="196">
        <v>217.34412693377575</v>
      </c>
      <c r="X168" s="196" t="s">
        <v>192</v>
      </c>
      <c r="Y168" s="196">
        <v>191.87853937967154</v>
      </c>
      <c r="Z168" s="196" t="s">
        <v>192</v>
      </c>
      <c r="AA168" s="196">
        <v>25.465587554104196</v>
      </c>
      <c r="AB168" s="196"/>
    </row>
    <row r="169" spans="1:28" x14ac:dyDescent="0.25">
      <c r="A169" s="6" t="str">
        <f t="shared" si="5"/>
        <v>jun - ago2023</v>
      </c>
      <c r="B169" s="198">
        <v>2023</v>
      </c>
      <c r="C169" s="197" t="s">
        <v>169</v>
      </c>
      <c r="D169" s="196" t="s">
        <v>192</v>
      </c>
      <c r="E169" s="196">
        <v>9005.4428287419414</v>
      </c>
      <c r="F169" s="196" t="s">
        <v>192</v>
      </c>
      <c r="G169" s="196">
        <v>2210.351818356949</v>
      </c>
      <c r="H169" s="196" t="s">
        <v>192</v>
      </c>
      <c r="I169" s="196">
        <v>281.89635171149484</v>
      </c>
      <c r="J169" s="196" t="s">
        <v>192</v>
      </c>
      <c r="K169" s="196">
        <v>1870.046658661119</v>
      </c>
      <c r="L169" s="196" t="s">
        <v>192</v>
      </c>
      <c r="M169" s="196">
        <v>58.408807984335155</v>
      </c>
      <c r="N169" s="196" t="s">
        <v>192</v>
      </c>
      <c r="O169" s="196">
        <v>6795.0910103849938</v>
      </c>
      <c r="P169" s="196" t="s">
        <v>192</v>
      </c>
      <c r="Q169" s="196">
        <v>6583.5958812556564</v>
      </c>
      <c r="R169" s="196" t="s">
        <v>192</v>
      </c>
      <c r="S169" s="196">
        <v>5411.3500493389784</v>
      </c>
      <c r="T169" s="196" t="s">
        <v>192</v>
      </c>
      <c r="U169" s="196">
        <v>1172.2458319166781</v>
      </c>
      <c r="V169" s="196" t="s">
        <v>192</v>
      </c>
      <c r="W169" s="196">
        <v>211.49512912933687</v>
      </c>
      <c r="X169" s="196" t="s">
        <v>192</v>
      </c>
      <c r="Y169" s="196">
        <v>187.76807089578637</v>
      </c>
      <c r="Z169" s="196" t="s">
        <v>212</v>
      </c>
      <c r="AA169" s="196">
        <v>23.727058233550533</v>
      </c>
      <c r="AB169" s="196"/>
    </row>
    <row r="170" spans="1:28" x14ac:dyDescent="0.25">
      <c r="A170" s="6" t="str">
        <f t="shared" si="5"/>
        <v>jul - sep2023</v>
      </c>
      <c r="B170" s="198">
        <v>2023</v>
      </c>
      <c r="C170" s="197" t="s">
        <v>168</v>
      </c>
      <c r="D170" s="196" t="s">
        <v>192</v>
      </c>
      <c r="E170" s="196">
        <v>9023.4521881970741</v>
      </c>
      <c r="F170" s="196" t="s">
        <v>192</v>
      </c>
      <c r="G170" s="196">
        <v>2222.6618640325828</v>
      </c>
      <c r="H170" s="196" t="s">
        <v>192</v>
      </c>
      <c r="I170" s="196">
        <v>287.45021178787323</v>
      </c>
      <c r="J170" s="196" t="s">
        <v>192</v>
      </c>
      <c r="K170" s="196">
        <v>1876.5098252962464</v>
      </c>
      <c r="L170" s="196" t="s">
        <v>192</v>
      </c>
      <c r="M170" s="196">
        <v>58.701826948463221</v>
      </c>
      <c r="N170" s="196" t="s">
        <v>192</v>
      </c>
      <c r="O170" s="196">
        <v>6800.7903241644926</v>
      </c>
      <c r="P170" s="196" t="s">
        <v>192</v>
      </c>
      <c r="Q170" s="196">
        <v>6585.3289660379551</v>
      </c>
      <c r="R170" s="196" t="s">
        <v>192</v>
      </c>
      <c r="S170" s="196">
        <v>5405.7125118742979</v>
      </c>
      <c r="T170" s="196" t="s">
        <v>192</v>
      </c>
      <c r="U170" s="196">
        <v>1179.6164541636576</v>
      </c>
      <c r="V170" s="196" t="s">
        <v>192</v>
      </c>
      <c r="W170" s="196">
        <v>215.46135812653699</v>
      </c>
      <c r="X170" s="196" t="s">
        <v>192</v>
      </c>
      <c r="Y170" s="196">
        <v>188.12433763816458</v>
      </c>
      <c r="Z170" s="196" t="s">
        <v>212</v>
      </c>
      <c r="AA170" s="196">
        <v>27.337020488372431</v>
      </c>
      <c r="AB170" s="196"/>
    </row>
    <row r="171" spans="1:28" x14ac:dyDescent="0.25">
      <c r="A171" s="6" t="str">
        <f t="shared" si="5"/>
        <v>ago - oct2023</v>
      </c>
      <c r="B171" s="198">
        <v>2023</v>
      </c>
      <c r="C171" s="197" t="s">
        <v>167</v>
      </c>
      <c r="D171" s="196" t="s">
        <v>192</v>
      </c>
      <c r="E171" s="196">
        <v>9052.988742141175</v>
      </c>
      <c r="F171" s="196" t="s">
        <v>192</v>
      </c>
      <c r="G171" s="196">
        <v>2242.4559220728083</v>
      </c>
      <c r="H171" s="196" t="s">
        <v>192</v>
      </c>
      <c r="I171" s="196">
        <v>291.16074507363635</v>
      </c>
      <c r="J171" s="196" t="s">
        <v>192</v>
      </c>
      <c r="K171" s="196">
        <v>1890.1488304704608</v>
      </c>
      <c r="L171" s="196" t="s">
        <v>192</v>
      </c>
      <c r="M171" s="196">
        <v>61.146346528711156</v>
      </c>
      <c r="N171" s="196" t="s">
        <v>192</v>
      </c>
      <c r="O171" s="196">
        <v>6810.5328200683653</v>
      </c>
      <c r="P171" s="196" t="s">
        <v>192</v>
      </c>
      <c r="Q171" s="196">
        <v>6595.7148899146187</v>
      </c>
      <c r="R171" s="196" t="s">
        <v>192</v>
      </c>
      <c r="S171" s="196">
        <v>5400.8342251192371</v>
      </c>
      <c r="T171" s="196" t="s">
        <v>192</v>
      </c>
      <c r="U171" s="196">
        <v>1194.8806647953822</v>
      </c>
      <c r="V171" s="196" t="s">
        <v>192</v>
      </c>
      <c r="W171" s="196">
        <v>214.81793015374592</v>
      </c>
      <c r="X171" s="196" t="s">
        <v>192</v>
      </c>
      <c r="Y171" s="196">
        <v>190.95160770269766</v>
      </c>
      <c r="Z171" s="196" t="s">
        <v>212</v>
      </c>
      <c r="AA171" s="196">
        <v>23.86632245104828</v>
      </c>
      <c r="AB171" s="196"/>
    </row>
    <row r="172" spans="1:28" x14ac:dyDescent="0.25">
      <c r="A172" s="6" t="str">
        <f t="shared" si="5"/>
        <v>sep - nov2023</v>
      </c>
      <c r="B172" s="198">
        <v>2023</v>
      </c>
      <c r="C172" s="197" t="s">
        <v>166</v>
      </c>
      <c r="D172" s="196" t="s">
        <v>192</v>
      </c>
      <c r="E172" s="196">
        <v>9138.4167213042274</v>
      </c>
      <c r="F172" s="196" t="s">
        <v>192</v>
      </c>
      <c r="G172" s="196">
        <v>2261.5640628179076</v>
      </c>
      <c r="H172" s="196" t="s">
        <v>192</v>
      </c>
      <c r="I172" s="196">
        <v>281.91468104714033</v>
      </c>
      <c r="J172" s="196" t="s">
        <v>192</v>
      </c>
      <c r="K172" s="196">
        <v>1919.1201343796033</v>
      </c>
      <c r="L172" s="196" t="s">
        <v>192</v>
      </c>
      <c r="M172" s="196">
        <v>60.529247391163992</v>
      </c>
      <c r="N172" s="196" t="s">
        <v>192</v>
      </c>
      <c r="O172" s="196">
        <v>6876.8526584863193</v>
      </c>
      <c r="P172" s="196" t="s">
        <v>192</v>
      </c>
      <c r="Q172" s="196">
        <v>6653.9015895743632</v>
      </c>
      <c r="R172" s="196" t="s">
        <v>192</v>
      </c>
      <c r="S172" s="196">
        <v>5457.3884055505932</v>
      </c>
      <c r="T172" s="196" t="s">
        <v>192</v>
      </c>
      <c r="U172" s="196">
        <v>1196.5131840237698</v>
      </c>
      <c r="V172" s="196" t="s">
        <v>192</v>
      </c>
      <c r="W172" s="196">
        <v>222.9510689119565</v>
      </c>
      <c r="X172" s="196" t="s">
        <v>192</v>
      </c>
      <c r="Y172" s="196">
        <v>193.61271418998888</v>
      </c>
      <c r="Z172" s="196" t="s">
        <v>212</v>
      </c>
      <c r="AA172" s="196">
        <v>29.338354721967626</v>
      </c>
      <c r="AB172" s="196"/>
    </row>
    <row r="173" spans="1:28" x14ac:dyDescent="0.25">
      <c r="A173" s="6" t="str">
        <f t="shared" si="5"/>
        <v>oct - dic2023</v>
      </c>
      <c r="B173" s="198">
        <v>2023</v>
      </c>
      <c r="C173" s="197" t="s">
        <v>165</v>
      </c>
      <c r="D173" s="196" t="s">
        <v>192</v>
      </c>
      <c r="E173" s="196">
        <v>9223.1349041614903</v>
      </c>
      <c r="F173" s="196" t="s">
        <v>192</v>
      </c>
      <c r="G173" s="196">
        <v>2260.9597290788643</v>
      </c>
      <c r="H173" s="196" t="s">
        <v>192</v>
      </c>
      <c r="I173" s="196">
        <v>277.8269763770777</v>
      </c>
      <c r="J173" s="196" t="s">
        <v>192</v>
      </c>
      <c r="K173" s="196">
        <v>1918.1539299927324</v>
      </c>
      <c r="L173" s="196" t="s">
        <v>192</v>
      </c>
      <c r="M173" s="196">
        <v>64.97882270905437</v>
      </c>
      <c r="N173" s="196" t="s">
        <v>192</v>
      </c>
      <c r="O173" s="196">
        <v>6962.1751750826261</v>
      </c>
      <c r="P173" s="196" t="s">
        <v>192</v>
      </c>
      <c r="Q173" s="196">
        <v>6735.2084392658389</v>
      </c>
      <c r="R173" s="196" t="s">
        <v>192</v>
      </c>
      <c r="S173" s="196">
        <v>5538.8885762160526</v>
      </c>
      <c r="T173" s="196" t="s">
        <v>192</v>
      </c>
      <c r="U173" s="196">
        <v>1196.3198630497864</v>
      </c>
      <c r="V173" s="196" t="s">
        <v>192</v>
      </c>
      <c r="W173" s="196">
        <v>226.96673581678681</v>
      </c>
      <c r="X173" s="196" t="s">
        <v>192</v>
      </c>
      <c r="Y173" s="196">
        <v>196.88892055336092</v>
      </c>
      <c r="Z173" s="196" t="s">
        <v>212</v>
      </c>
      <c r="AA173" s="196">
        <v>30.077815263425922</v>
      </c>
      <c r="AB173" s="196"/>
    </row>
    <row r="174" spans="1:28" x14ac:dyDescent="0.25">
      <c r="A174" s="6" t="str">
        <f t="shared" si="5"/>
        <v>nov - ene2023</v>
      </c>
      <c r="B174" s="198">
        <v>2023</v>
      </c>
      <c r="C174" s="197" t="s">
        <v>164</v>
      </c>
      <c r="D174" s="196" t="s">
        <v>192</v>
      </c>
      <c r="E174" s="196">
        <v>9273.4263972835379</v>
      </c>
      <c r="F174" s="196" t="s">
        <v>192</v>
      </c>
      <c r="G174" s="196">
        <v>2233.6676018428093</v>
      </c>
      <c r="H174" s="196" t="s">
        <v>192</v>
      </c>
      <c r="I174" s="196">
        <v>278.14394345714248</v>
      </c>
      <c r="J174" s="196" t="s">
        <v>192</v>
      </c>
      <c r="K174" s="196">
        <v>1889.5510748423862</v>
      </c>
      <c r="L174" s="196" t="s">
        <v>192</v>
      </c>
      <c r="M174" s="196">
        <v>65.972583543281019</v>
      </c>
      <c r="N174" s="196" t="s">
        <v>192</v>
      </c>
      <c r="O174" s="196">
        <v>7039.7587954407272</v>
      </c>
      <c r="P174" s="196" t="s">
        <v>192</v>
      </c>
      <c r="Q174" s="196">
        <v>6814.741365305752</v>
      </c>
      <c r="R174" s="196" t="s">
        <v>192</v>
      </c>
      <c r="S174" s="196">
        <v>5632.0691475071526</v>
      </c>
      <c r="T174" s="196" t="s">
        <v>192</v>
      </c>
      <c r="U174" s="196">
        <v>1182.6722177985991</v>
      </c>
      <c r="V174" s="196" t="s">
        <v>192</v>
      </c>
      <c r="W174" s="196">
        <v>225.0174301349756</v>
      </c>
      <c r="X174" s="196" t="s">
        <v>192</v>
      </c>
      <c r="Y174" s="196">
        <v>192.90009463400403</v>
      </c>
      <c r="Z174" s="196" t="s">
        <v>212</v>
      </c>
      <c r="AA174" s="196">
        <v>32.117335500971564</v>
      </c>
      <c r="AB174" s="196"/>
    </row>
    <row r="175" spans="1:28" x14ac:dyDescent="0.25">
      <c r="A175" s="6" t="str">
        <f t="shared" si="5"/>
        <v>dic - feb2024</v>
      </c>
      <c r="B175" s="198">
        <v>2024</v>
      </c>
      <c r="C175" s="197" t="s">
        <v>163</v>
      </c>
      <c r="D175" s="196" t="s">
        <v>192</v>
      </c>
      <c r="E175" s="196">
        <v>9309.6080943488687</v>
      </c>
      <c r="F175" s="196" t="s">
        <v>192</v>
      </c>
      <c r="G175" s="196">
        <v>2230.3702526640868</v>
      </c>
      <c r="H175" s="196" t="s">
        <v>192</v>
      </c>
      <c r="I175" s="196">
        <v>294.9241699623268</v>
      </c>
      <c r="J175" s="196" t="s">
        <v>192</v>
      </c>
      <c r="K175" s="196">
        <v>1871.175721440077</v>
      </c>
      <c r="L175" s="196" t="s">
        <v>192</v>
      </c>
      <c r="M175" s="196">
        <v>64.270361261682737</v>
      </c>
      <c r="N175" s="196" t="s">
        <v>192</v>
      </c>
      <c r="O175" s="196">
        <v>7079.2378416847823</v>
      </c>
      <c r="P175" s="196" t="s">
        <v>192</v>
      </c>
      <c r="Q175" s="196">
        <v>6860.8037488247555</v>
      </c>
      <c r="R175" s="196" t="s">
        <v>192</v>
      </c>
      <c r="S175" s="196">
        <v>5665.9325319553409</v>
      </c>
      <c r="T175" s="196" t="s">
        <v>192</v>
      </c>
      <c r="U175" s="196">
        <v>1194.8712168694142</v>
      </c>
      <c r="V175" s="196" t="s">
        <v>192</v>
      </c>
      <c r="W175" s="196">
        <v>218.43409286002631</v>
      </c>
      <c r="X175" s="196" t="s">
        <v>192</v>
      </c>
      <c r="Y175" s="196">
        <v>193.20815816540707</v>
      </c>
      <c r="Z175" s="196" t="s">
        <v>192</v>
      </c>
      <c r="AA175" s="196">
        <v>25.225934694619227</v>
      </c>
      <c r="AB175" s="196"/>
    </row>
    <row r="176" spans="1:28" x14ac:dyDescent="0.25">
      <c r="B176" s="195"/>
      <c r="C176" s="194"/>
      <c r="D176" s="194"/>
      <c r="E176" s="150"/>
      <c r="F176" s="150"/>
      <c r="G176" s="150"/>
      <c r="H176" s="150"/>
      <c r="I176" s="150"/>
      <c r="J176" s="150"/>
      <c r="K176" s="150"/>
      <c r="L176" s="150"/>
      <c r="M176" s="150"/>
      <c r="N176" s="150"/>
      <c r="O176" s="150"/>
      <c r="P176" s="150"/>
      <c r="Q176" s="150"/>
      <c r="R176" s="150"/>
      <c r="S176" s="150"/>
      <c r="T176" s="150"/>
      <c r="U176" s="188"/>
      <c r="V176" s="188"/>
      <c r="W176" s="188"/>
      <c r="X176" s="188"/>
      <c r="Y176" s="188"/>
      <c r="Z176" s="188"/>
      <c r="AA176" s="188"/>
    </row>
    <row r="177" spans="2:16" x14ac:dyDescent="0.25">
      <c r="B177" s="193" t="s">
        <v>161</v>
      </c>
      <c r="E177" s="192"/>
      <c r="F177" s="192"/>
    </row>
    <row r="178" spans="2:16" x14ac:dyDescent="0.25">
      <c r="B178" s="190"/>
      <c r="C178" s="146"/>
      <c r="D178" s="146"/>
      <c r="O178" s="191"/>
      <c r="P178" s="191"/>
    </row>
    <row r="179" spans="2:16" x14ac:dyDescent="0.25">
      <c r="B179" s="190" t="s">
        <v>182</v>
      </c>
      <c r="C179" s="146"/>
      <c r="D179" s="146"/>
    </row>
    <row r="180" spans="2:16" x14ac:dyDescent="0.25">
      <c r="B180" s="190" t="s">
        <v>452</v>
      </c>
      <c r="C180" s="146"/>
      <c r="D180" s="146"/>
    </row>
    <row r="181" spans="2:16" x14ac:dyDescent="0.25">
      <c r="B181" s="190" t="s">
        <v>451</v>
      </c>
      <c r="C181" s="146"/>
      <c r="D181" s="146"/>
    </row>
    <row r="182" spans="2:16" x14ac:dyDescent="0.25">
      <c r="B182" s="190" t="s">
        <v>450</v>
      </c>
      <c r="C182" s="146"/>
      <c r="D182" s="146"/>
    </row>
    <row r="183" spans="2:16" x14ac:dyDescent="0.25">
      <c r="B183" s="190" t="s">
        <v>449</v>
      </c>
      <c r="C183" s="146"/>
      <c r="D183" s="146"/>
    </row>
    <row r="184" spans="2:16" x14ac:dyDescent="0.25">
      <c r="B184" s="190" t="s">
        <v>448</v>
      </c>
      <c r="C184" s="146"/>
      <c r="D184" s="146"/>
    </row>
    <row r="185" spans="2:16" x14ac:dyDescent="0.25">
      <c r="B185" s="146"/>
      <c r="C185" s="146"/>
      <c r="D185" s="146"/>
    </row>
    <row r="186" spans="2:16" x14ac:dyDescent="0.25">
      <c r="B186" s="189" t="s">
        <v>160</v>
      </c>
      <c r="C186" s="146"/>
      <c r="D186" s="146"/>
    </row>
    <row r="187" spans="2:16" x14ac:dyDescent="0.25">
      <c r="B187" s="189" t="s">
        <v>159</v>
      </c>
      <c r="C187" s="146"/>
      <c r="D187" s="146"/>
    </row>
    <row r="188" spans="2:16" ht="12.75" customHeight="1" x14ac:dyDescent="0.25">
      <c r="B188" s="146"/>
      <c r="C188" s="146"/>
      <c r="D188" s="146"/>
    </row>
    <row r="189" spans="2:16" ht="12.75" customHeight="1" x14ac:dyDescent="0.25">
      <c r="B189" s="146"/>
      <c r="C189" s="146"/>
      <c r="D189" s="146"/>
    </row>
    <row r="190" spans="2:16" ht="12.75" customHeight="1" x14ac:dyDescent="0.25">
      <c r="B190" s="146"/>
      <c r="C190" s="146"/>
      <c r="D190" s="146"/>
    </row>
    <row r="191" spans="2:16" ht="12.75" customHeight="1" x14ac:dyDescent="0.25">
      <c r="B191" s="146"/>
      <c r="C191" s="146"/>
      <c r="D191" s="146"/>
    </row>
    <row r="192" spans="2:16" ht="12.75" customHeight="1" x14ac:dyDescent="0.25">
      <c r="B192" s="146"/>
      <c r="C192" s="146"/>
      <c r="D192" s="146"/>
    </row>
    <row r="193" spans="2:4" ht="12.75" customHeight="1" x14ac:dyDescent="0.25">
      <c r="B193" s="146"/>
      <c r="C193" s="146"/>
      <c r="D193" s="146"/>
    </row>
    <row r="194" spans="2:4" ht="12.75" customHeight="1" x14ac:dyDescent="0.25">
      <c r="B194" s="146"/>
      <c r="C194" s="146"/>
      <c r="D194" s="146"/>
    </row>
    <row r="195" spans="2:4" ht="12.75" customHeight="1" x14ac:dyDescent="0.25">
      <c r="B195" s="146"/>
      <c r="C195" s="146"/>
      <c r="D195" s="146"/>
    </row>
    <row r="196" spans="2:4" ht="12.75" customHeight="1" x14ac:dyDescent="0.25">
      <c r="B196" s="146"/>
      <c r="C196" s="146"/>
      <c r="D196" s="146"/>
    </row>
    <row r="197" spans="2:4" ht="12.75" customHeight="1" x14ac:dyDescent="0.25">
      <c r="B197" s="146"/>
      <c r="C197" s="146"/>
      <c r="D197" s="146"/>
    </row>
    <row r="198" spans="2:4" ht="12.75" customHeight="1" x14ac:dyDescent="0.25">
      <c r="B198" s="146"/>
      <c r="C198" s="146"/>
      <c r="D198" s="146"/>
    </row>
    <row r="199" spans="2:4" ht="12.75" customHeight="1" x14ac:dyDescent="0.25">
      <c r="B199" s="146"/>
      <c r="C199" s="146"/>
      <c r="D199" s="146"/>
    </row>
    <row r="200" spans="2:4" ht="12.75" customHeight="1" x14ac:dyDescent="0.25">
      <c r="B200" s="146"/>
      <c r="C200" s="146"/>
      <c r="D200" s="146"/>
    </row>
    <row r="201" spans="2:4" ht="12.75" customHeight="1" x14ac:dyDescent="0.25">
      <c r="B201" s="146"/>
      <c r="C201" s="146"/>
      <c r="D201" s="146"/>
    </row>
    <row r="202" spans="2:4" ht="12.75" customHeight="1" x14ac:dyDescent="0.25">
      <c r="B202" s="146"/>
      <c r="C202" s="146"/>
      <c r="D202" s="146"/>
    </row>
    <row r="203" spans="2:4" ht="12.75" customHeight="1" x14ac:dyDescent="0.25">
      <c r="B203" s="146"/>
      <c r="C203" s="146"/>
      <c r="D203" s="146"/>
    </row>
    <row r="204" spans="2:4" ht="12.75" customHeight="1" x14ac:dyDescent="0.25">
      <c r="B204" s="146"/>
      <c r="C204" s="146"/>
      <c r="D204" s="146"/>
    </row>
    <row r="205" spans="2:4" ht="12.75" customHeight="1" x14ac:dyDescent="0.25">
      <c r="B205" s="146"/>
      <c r="C205" s="146"/>
      <c r="D205" s="146"/>
    </row>
    <row r="206" spans="2:4" ht="12.75" customHeight="1" x14ac:dyDescent="0.25">
      <c r="B206" s="146"/>
      <c r="C206" s="146"/>
      <c r="D206" s="146"/>
    </row>
    <row r="207" spans="2:4" ht="12.75" customHeight="1" x14ac:dyDescent="0.25">
      <c r="B207" s="146"/>
      <c r="C207" s="146"/>
      <c r="D207" s="146"/>
    </row>
    <row r="208" spans="2:4" ht="12.75" customHeight="1" x14ac:dyDescent="0.25">
      <c r="B208" s="146"/>
      <c r="C208" s="146"/>
      <c r="D208" s="146"/>
    </row>
    <row r="209" spans="2:4" ht="12.75" customHeight="1" x14ac:dyDescent="0.25">
      <c r="B209" s="146"/>
      <c r="C209" s="146"/>
      <c r="D209" s="146"/>
    </row>
    <row r="210" spans="2:4" ht="12.75" customHeight="1" x14ac:dyDescent="0.25">
      <c r="B210" s="146"/>
      <c r="C210" s="146"/>
      <c r="D210" s="146"/>
    </row>
    <row r="211" spans="2:4" ht="12.75" customHeight="1" x14ac:dyDescent="0.25">
      <c r="B211" s="146"/>
      <c r="C211" s="146"/>
      <c r="D211" s="146"/>
    </row>
    <row r="212" spans="2:4" ht="12.75" customHeight="1" x14ac:dyDescent="0.25">
      <c r="B212" s="146"/>
      <c r="C212" s="146"/>
      <c r="D212" s="146"/>
    </row>
    <row r="213" spans="2:4" ht="12.75" customHeight="1" x14ac:dyDescent="0.25">
      <c r="B213" s="146"/>
      <c r="C213" s="146"/>
      <c r="D213" s="146"/>
    </row>
    <row r="214" spans="2:4" ht="12.75" customHeight="1" x14ac:dyDescent="0.25">
      <c r="B214" s="146"/>
      <c r="C214" s="146"/>
      <c r="D214" s="146"/>
    </row>
    <row r="215" spans="2:4" ht="12.75" customHeight="1" x14ac:dyDescent="0.25">
      <c r="B215" s="146"/>
      <c r="C215" s="146"/>
      <c r="D215" s="146"/>
    </row>
    <row r="216" spans="2:4" ht="12.75" customHeight="1" x14ac:dyDescent="0.25">
      <c r="B216" s="146"/>
      <c r="C216" s="146"/>
      <c r="D216" s="146"/>
    </row>
    <row r="217" spans="2:4" ht="12.75" customHeight="1" x14ac:dyDescent="0.25">
      <c r="B217" s="146"/>
      <c r="C217" s="146"/>
      <c r="D217" s="146"/>
    </row>
    <row r="218" spans="2:4" ht="12.75" customHeight="1" x14ac:dyDescent="0.25">
      <c r="B218" s="146"/>
      <c r="C218" s="146"/>
      <c r="D218" s="146"/>
    </row>
    <row r="219" spans="2:4" ht="12.75" customHeight="1" x14ac:dyDescent="0.25">
      <c r="B219" s="146"/>
      <c r="C219" s="146"/>
      <c r="D219" s="146"/>
    </row>
    <row r="220" spans="2:4" ht="12.75" customHeight="1" x14ac:dyDescent="0.25">
      <c r="B220" s="146"/>
      <c r="C220" s="146"/>
      <c r="D220" s="146"/>
    </row>
    <row r="221" spans="2:4" ht="12.75" customHeight="1" x14ac:dyDescent="0.25">
      <c r="B221" s="146"/>
      <c r="C221" s="146"/>
      <c r="D221" s="146"/>
    </row>
    <row r="222" spans="2:4" ht="12.75" customHeight="1" x14ac:dyDescent="0.25">
      <c r="B222" s="146"/>
      <c r="C222" s="146"/>
      <c r="D222" s="146"/>
    </row>
    <row r="223" spans="2:4" ht="12.75" customHeight="1" x14ac:dyDescent="0.25">
      <c r="B223" s="146"/>
      <c r="C223" s="146"/>
      <c r="D223" s="146"/>
    </row>
    <row r="224" spans="2:4" ht="12.75" customHeight="1" x14ac:dyDescent="0.25">
      <c r="B224" s="146"/>
      <c r="C224" s="146"/>
      <c r="D224" s="146"/>
    </row>
    <row r="225" spans="2:4" ht="12.75" customHeight="1" x14ac:dyDescent="0.25">
      <c r="B225" s="146"/>
      <c r="C225" s="146"/>
      <c r="D225" s="146"/>
    </row>
    <row r="226" spans="2:4" ht="12.75" customHeight="1" x14ac:dyDescent="0.25">
      <c r="B226" s="146"/>
      <c r="C226" s="146"/>
      <c r="D226" s="146"/>
    </row>
    <row r="227" spans="2:4" ht="12.75" customHeight="1" x14ac:dyDescent="0.25">
      <c r="B227" s="146"/>
      <c r="C227" s="146"/>
      <c r="D227" s="146"/>
    </row>
    <row r="228" spans="2:4" ht="12.75" customHeight="1" x14ac:dyDescent="0.25">
      <c r="B228" s="146"/>
      <c r="C228" s="146"/>
      <c r="D228" s="146"/>
    </row>
    <row r="229" spans="2:4" ht="12.75" customHeight="1" x14ac:dyDescent="0.25">
      <c r="B229" s="146"/>
      <c r="C229" s="146"/>
      <c r="D229" s="146"/>
    </row>
    <row r="230" spans="2:4" ht="12.75" customHeight="1" x14ac:dyDescent="0.25">
      <c r="B230" s="146"/>
      <c r="C230" s="146"/>
      <c r="D230" s="146"/>
    </row>
    <row r="231" spans="2:4" ht="12.75" customHeight="1" x14ac:dyDescent="0.25">
      <c r="B231" s="146"/>
      <c r="C231" s="146"/>
      <c r="D231" s="146"/>
    </row>
    <row r="232" spans="2:4" ht="12.75" customHeight="1" x14ac:dyDescent="0.25">
      <c r="B232" s="146"/>
      <c r="C232" s="146"/>
      <c r="D232" s="146"/>
    </row>
    <row r="233" spans="2:4" ht="12.75" customHeight="1" x14ac:dyDescent="0.25">
      <c r="B233" s="146"/>
      <c r="C233" s="146"/>
      <c r="D233" s="146"/>
    </row>
    <row r="234" spans="2:4" ht="12.75" customHeight="1" x14ac:dyDescent="0.25">
      <c r="B234" s="146"/>
      <c r="C234" s="146"/>
      <c r="D234" s="146"/>
    </row>
    <row r="235" spans="2:4" ht="12.75" customHeight="1" x14ac:dyDescent="0.25">
      <c r="B235" s="146"/>
      <c r="C235" s="146"/>
      <c r="D235" s="146"/>
    </row>
    <row r="236" spans="2:4" ht="12.75" customHeight="1" x14ac:dyDescent="0.25">
      <c r="B236" s="146"/>
      <c r="C236" s="146"/>
      <c r="D236" s="146"/>
    </row>
    <row r="237" spans="2:4" ht="12.75" customHeight="1" x14ac:dyDescent="0.25">
      <c r="B237" s="146"/>
      <c r="C237" s="146"/>
      <c r="D237" s="146"/>
    </row>
    <row r="238" spans="2:4" ht="12.75" customHeight="1" x14ac:dyDescent="0.25">
      <c r="B238" s="146"/>
      <c r="C238" s="146"/>
      <c r="D238" s="146"/>
    </row>
    <row r="239" spans="2:4" ht="12.75" customHeight="1" x14ac:dyDescent="0.25">
      <c r="B239" s="146"/>
      <c r="C239" s="146"/>
      <c r="D239" s="146"/>
    </row>
    <row r="240" spans="2:4" ht="12.75" customHeight="1" x14ac:dyDescent="0.25">
      <c r="B240" s="146"/>
      <c r="C240" s="146"/>
      <c r="D240" s="146"/>
    </row>
    <row r="241" spans="2:4" ht="12.75" customHeight="1" x14ac:dyDescent="0.25">
      <c r="B241" s="146"/>
      <c r="C241" s="146"/>
      <c r="D241" s="146"/>
    </row>
    <row r="242" spans="2:4" ht="12.75" customHeight="1" x14ac:dyDescent="0.25">
      <c r="B242" s="146"/>
      <c r="C242" s="146"/>
      <c r="D242" s="146"/>
    </row>
    <row r="243" spans="2:4" ht="12.75" customHeight="1" x14ac:dyDescent="0.25">
      <c r="B243" s="146"/>
      <c r="C243" s="146"/>
      <c r="D243" s="146"/>
    </row>
    <row r="244" spans="2:4" ht="12.75" customHeight="1" x14ac:dyDescent="0.25">
      <c r="B244" s="146"/>
      <c r="C244" s="146"/>
      <c r="D244" s="146"/>
    </row>
    <row r="245" spans="2:4" ht="12.75" customHeight="1" x14ac:dyDescent="0.25">
      <c r="B245" s="146"/>
      <c r="C245" s="146"/>
      <c r="D245" s="146"/>
    </row>
    <row r="246" spans="2:4" ht="12.75" customHeight="1" x14ac:dyDescent="0.25">
      <c r="B246" s="146"/>
      <c r="C246" s="146"/>
      <c r="D246" s="146"/>
    </row>
    <row r="247" spans="2:4" ht="12.75" customHeight="1" x14ac:dyDescent="0.25">
      <c r="B247" s="146"/>
      <c r="C247" s="146"/>
      <c r="D247" s="146"/>
    </row>
    <row r="248" spans="2:4" ht="12.75" customHeight="1" x14ac:dyDescent="0.25">
      <c r="B248" s="146"/>
      <c r="C248" s="146"/>
      <c r="D248" s="146"/>
    </row>
    <row r="249" spans="2:4" ht="12.75" customHeight="1" x14ac:dyDescent="0.25">
      <c r="B249" s="146"/>
      <c r="C249" s="146"/>
      <c r="D249" s="146"/>
    </row>
    <row r="250" spans="2:4" ht="12.75" customHeight="1" x14ac:dyDescent="0.25">
      <c r="B250" s="146"/>
      <c r="C250" s="146"/>
      <c r="D250" s="146"/>
    </row>
    <row r="251" spans="2:4" ht="12.75" customHeight="1" x14ac:dyDescent="0.25">
      <c r="B251" s="146"/>
      <c r="C251" s="146"/>
      <c r="D251" s="146"/>
    </row>
    <row r="252" spans="2:4" ht="12.75" customHeight="1" x14ac:dyDescent="0.25">
      <c r="B252" s="146"/>
      <c r="C252" s="146"/>
      <c r="D252" s="146"/>
    </row>
    <row r="253" spans="2:4" ht="12.75" customHeight="1" x14ac:dyDescent="0.25">
      <c r="B253" s="146"/>
      <c r="C253" s="146"/>
      <c r="D253" s="146"/>
    </row>
    <row r="254" spans="2:4" ht="12.75" customHeight="1" x14ac:dyDescent="0.25">
      <c r="B254" s="146"/>
      <c r="C254" s="146"/>
      <c r="D254" s="146"/>
    </row>
    <row r="255" spans="2:4" ht="12.75" customHeight="1" x14ac:dyDescent="0.25">
      <c r="B255" s="146"/>
      <c r="C255" s="146"/>
      <c r="D255" s="146"/>
    </row>
    <row r="256" spans="2:4" ht="12.75" customHeight="1" x14ac:dyDescent="0.25">
      <c r="B256" s="146"/>
      <c r="C256" s="146"/>
      <c r="D256" s="146"/>
    </row>
    <row r="257" spans="2:4" ht="12.75" customHeight="1" x14ac:dyDescent="0.25">
      <c r="B257" s="146"/>
      <c r="C257" s="146"/>
      <c r="D257" s="146"/>
    </row>
    <row r="258" spans="2:4" ht="12.75" customHeight="1" x14ac:dyDescent="0.25">
      <c r="B258" s="146"/>
      <c r="C258" s="146"/>
      <c r="D258" s="146"/>
    </row>
    <row r="259" spans="2:4" ht="12.75" customHeight="1" x14ac:dyDescent="0.25">
      <c r="B259" s="146"/>
      <c r="C259" s="146"/>
      <c r="D259" s="146"/>
    </row>
    <row r="260" spans="2:4" ht="12.75" customHeight="1" x14ac:dyDescent="0.25">
      <c r="B260" s="146"/>
      <c r="C260" s="146"/>
      <c r="D260" s="146"/>
    </row>
    <row r="261" spans="2:4" ht="12.75" customHeight="1" x14ac:dyDescent="0.25">
      <c r="B261" s="146"/>
      <c r="C261" s="146"/>
      <c r="D261" s="146"/>
    </row>
    <row r="262" spans="2:4" ht="12.75" customHeight="1" x14ac:dyDescent="0.25">
      <c r="B262" s="146"/>
      <c r="C262" s="146"/>
      <c r="D262" s="146"/>
    </row>
    <row r="263" spans="2:4" ht="12.75" customHeight="1" x14ac:dyDescent="0.25">
      <c r="B263" s="146"/>
      <c r="C263" s="146"/>
      <c r="D263" s="146"/>
    </row>
    <row r="264" spans="2:4" ht="12.75" customHeight="1" x14ac:dyDescent="0.25">
      <c r="B264" s="146"/>
      <c r="C264" s="146"/>
      <c r="D264" s="146"/>
    </row>
    <row r="265" spans="2:4" ht="12.75" customHeight="1" x14ac:dyDescent="0.25">
      <c r="B265" s="146"/>
      <c r="C265" s="146"/>
      <c r="D265" s="146"/>
    </row>
    <row r="266" spans="2:4" ht="12.75" customHeight="1" x14ac:dyDescent="0.25">
      <c r="B266" s="146"/>
      <c r="C266" s="146"/>
      <c r="D266" s="146"/>
    </row>
    <row r="267" spans="2:4" ht="12.75" customHeight="1" x14ac:dyDescent="0.25">
      <c r="B267" s="146"/>
      <c r="C267" s="146"/>
      <c r="D267" s="146"/>
    </row>
    <row r="268" spans="2:4" ht="12.75" customHeight="1" x14ac:dyDescent="0.25">
      <c r="B268" s="146"/>
      <c r="C268" s="146"/>
      <c r="D268" s="146"/>
    </row>
    <row r="269" spans="2:4" ht="12.75" customHeight="1" x14ac:dyDescent="0.25">
      <c r="B269" s="146"/>
      <c r="C269" s="146"/>
      <c r="D269" s="146"/>
    </row>
    <row r="270" spans="2:4" ht="12.75" customHeight="1" x14ac:dyDescent="0.25">
      <c r="B270" s="146"/>
      <c r="C270" s="146"/>
      <c r="D270" s="146"/>
    </row>
    <row r="271" spans="2:4" ht="12.75" customHeight="1" x14ac:dyDescent="0.25">
      <c r="B271" s="146"/>
      <c r="C271" s="146"/>
      <c r="D271" s="146"/>
    </row>
    <row r="272" spans="2:4" ht="12.75" customHeight="1" x14ac:dyDescent="0.25">
      <c r="B272" s="146"/>
      <c r="C272" s="146"/>
      <c r="D272" s="146"/>
    </row>
    <row r="273" spans="2:19" ht="12.75" customHeight="1" x14ac:dyDescent="0.25">
      <c r="B273" s="146"/>
      <c r="C273" s="146"/>
      <c r="D273" s="146"/>
    </row>
    <row r="274" spans="2:19" ht="12.75" customHeight="1" x14ac:dyDescent="0.25">
      <c r="B274" s="146"/>
      <c r="C274" s="146"/>
      <c r="D274" s="146"/>
    </row>
    <row r="275" spans="2:19" ht="12.75" customHeight="1" x14ac:dyDescent="0.25">
      <c r="B275" s="146"/>
      <c r="C275" s="146"/>
      <c r="D275" s="146"/>
    </row>
    <row r="276" spans="2:19" ht="12.75" customHeight="1" x14ac:dyDescent="0.25">
      <c r="B276" s="146"/>
      <c r="C276" s="146"/>
      <c r="D276" s="146"/>
    </row>
    <row r="277" spans="2:19" ht="12.75" customHeight="1" x14ac:dyDescent="0.25">
      <c r="B277" s="146"/>
      <c r="C277" s="146"/>
      <c r="D277" s="146"/>
    </row>
    <row r="278" spans="2:19" ht="12.75" customHeight="1" x14ac:dyDescent="0.25">
      <c r="B278" s="146"/>
      <c r="C278" s="146"/>
      <c r="D278" s="146"/>
    </row>
    <row r="279" spans="2:19" ht="12.75" customHeight="1" x14ac:dyDescent="0.25">
      <c r="B279" s="146"/>
      <c r="C279" s="146"/>
      <c r="D279" s="146"/>
    </row>
    <row r="280" spans="2:19" ht="12.75" customHeight="1" x14ac:dyDescent="0.25">
      <c r="B280" s="146"/>
      <c r="C280" s="146"/>
      <c r="D280" s="146"/>
    </row>
    <row r="281" spans="2:19" ht="12.75" customHeight="1" x14ac:dyDescent="0.25">
      <c r="B281" s="146"/>
      <c r="C281" s="146"/>
      <c r="D281" s="146"/>
    </row>
    <row r="282" spans="2:19" ht="12.75" customHeight="1" x14ac:dyDescent="0.25">
      <c r="B282" s="146"/>
      <c r="C282" s="146"/>
      <c r="D282" s="146"/>
    </row>
    <row r="283" spans="2:19" ht="12.75" customHeight="1" x14ac:dyDescent="0.25">
      <c r="B283" s="146"/>
      <c r="C283" s="146"/>
      <c r="D283" s="146"/>
    </row>
    <row r="284" spans="2:19" ht="12.75" customHeight="1" x14ac:dyDescent="0.25">
      <c r="B284" s="146"/>
      <c r="C284" s="146"/>
      <c r="D284" s="146"/>
    </row>
    <row r="285" spans="2:19" ht="12.75" customHeight="1" x14ac:dyDescent="0.25">
      <c r="B285" s="188"/>
      <c r="C285" s="188"/>
      <c r="D285" s="188"/>
      <c r="E285" s="188"/>
      <c r="F285" s="188"/>
      <c r="G285" s="188"/>
      <c r="H285" s="188"/>
      <c r="I285" s="188"/>
      <c r="J285" s="188"/>
      <c r="K285" s="188"/>
      <c r="L285" s="188"/>
      <c r="M285" s="188"/>
      <c r="N285" s="188"/>
      <c r="O285" s="188"/>
      <c r="P285" s="188"/>
      <c r="Q285" s="188"/>
      <c r="R285" s="188"/>
      <c r="S285" s="188"/>
    </row>
    <row r="286" spans="2:19" ht="12.75" customHeight="1" x14ac:dyDescent="0.25"/>
  </sheetData>
  <mergeCells count="12">
    <mergeCell ref="V6:W6"/>
    <mergeCell ref="X6:Y6"/>
    <mergeCell ref="Z6:AA6"/>
    <mergeCell ref="D6:E6"/>
    <mergeCell ref="F6:G6"/>
    <mergeCell ref="H6:I6"/>
    <mergeCell ref="J6:K6"/>
    <mergeCell ref="L6:M6"/>
    <mergeCell ref="N6:O6"/>
    <mergeCell ref="P6:Q6"/>
    <mergeCell ref="R6:S6"/>
    <mergeCell ref="T6:U6"/>
  </mergeCells>
  <hyperlinks>
    <hyperlink ref="B1" location="índice!B7" display="SERIE: OCUPADOS POR CATEGORÍA EN LA OCUPACIÓN /1" xr:uid="{ED088ABE-E026-4E57-9146-DE9E978884FB}"/>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EBE6D-3C49-4297-B412-04213BA201A2}">
  <dimension ref="A1:J181"/>
  <sheetViews>
    <sheetView topLeftCell="E1" workbookViewId="0">
      <selection activeCell="F3" sqref="F3"/>
    </sheetView>
    <sheetView topLeftCell="E1" workbookViewId="1"/>
  </sheetViews>
  <sheetFormatPr baseColWidth="10" defaultColWidth="11.42578125" defaultRowHeight="12.75" x14ac:dyDescent="0.25"/>
  <cols>
    <col min="1" max="4" width="0" style="208" hidden="1" customWidth="1"/>
    <col min="5" max="6" width="11.42578125" style="208"/>
    <col min="7" max="7" width="2.28515625" style="209" customWidth="1"/>
    <col min="8" max="10" width="15.5703125" style="208" customWidth="1"/>
    <col min="11" max="16384" width="11.42578125" style="208"/>
  </cols>
  <sheetData>
    <row r="1" spans="1:10" x14ac:dyDescent="0.25">
      <c r="E1" s="232" t="s">
        <v>480</v>
      </c>
    </row>
    <row r="2" spans="1:10" x14ac:dyDescent="0.25">
      <c r="E2" s="231" t="s">
        <v>479</v>
      </c>
    </row>
    <row r="3" spans="1:10" x14ac:dyDescent="0.25">
      <c r="E3" s="230" t="s">
        <v>178</v>
      </c>
    </row>
    <row r="4" spans="1:10" x14ac:dyDescent="0.25">
      <c r="E4" s="230"/>
    </row>
    <row r="6" spans="1:10" ht="38.25" x14ac:dyDescent="0.25">
      <c r="A6" s="208" t="s">
        <v>431</v>
      </c>
      <c r="C6" s="208" t="s">
        <v>430</v>
      </c>
      <c r="D6" s="208" t="s">
        <v>478</v>
      </c>
      <c r="E6" s="229" t="s">
        <v>477</v>
      </c>
      <c r="F6" s="229" t="s">
        <v>476</v>
      </c>
      <c r="G6" s="228"/>
      <c r="H6" s="227" t="s">
        <v>475</v>
      </c>
      <c r="I6" s="227" t="s">
        <v>474</v>
      </c>
      <c r="J6" s="227" t="s">
        <v>473</v>
      </c>
    </row>
    <row r="7" spans="1:10" x14ac:dyDescent="0.25">
      <c r="E7" s="226"/>
      <c r="F7" s="226"/>
      <c r="G7" s="225"/>
      <c r="H7" s="224" t="s">
        <v>472</v>
      </c>
      <c r="I7" s="224" t="s">
        <v>472</v>
      </c>
      <c r="J7" s="224" t="s">
        <v>472</v>
      </c>
    </row>
    <row r="8" spans="1:10" x14ac:dyDescent="0.25">
      <c r="A8" s="208" t="str">
        <f t="shared" ref="A8:A39" si="0">+B8&amp;C8</f>
        <v>ene2010</v>
      </c>
      <c r="B8" s="208" t="str">
        <f t="shared" ref="B8:B39" si="1">+IF(MONTH(F8)&gt;=10,"oct - dic",D8)</f>
        <v>ene</v>
      </c>
      <c r="C8" s="208">
        <f t="shared" ref="C8:C39" si="2">+YEAR(F8)</f>
        <v>2010</v>
      </c>
      <c r="D8" s="208" t="str">
        <f t="shared" ref="D8:D39" si="3">+TEXT(F8,"mmm")</f>
        <v>ene</v>
      </c>
      <c r="E8" s="221">
        <v>40210</v>
      </c>
      <c r="F8" s="221">
        <v>40209</v>
      </c>
      <c r="G8" s="220"/>
      <c r="H8" s="219">
        <v>4065665</v>
      </c>
      <c r="I8" s="219">
        <v>2460964</v>
      </c>
      <c r="J8" s="219">
        <v>1604701</v>
      </c>
    </row>
    <row r="9" spans="1:10" x14ac:dyDescent="0.25">
      <c r="A9" s="208" t="str">
        <f t="shared" si="0"/>
        <v>feb2010</v>
      </c>
      <c r="B9" s="208" t="str">
        <f t="shared" si="1"/>
        <v>feb</v>
      </c>
      <c r="C9" s="208">
        <f t="shared" si="2"/>
        <v>2010</v>
      </c>
      <c r="D9" s="208" t="str">
        <f t="shared" si="3"/>
        <v>feb</v>
      </c>
      <c r="E9" s="221">
        <v>40238</v>
      </c>
      <c r="F9" s="221">
        <v>40237</v>
      </c>
      <c r="G9" s="220"/>
      <c r="H9" s="219">
        <v>4087105</v>
      </c>
      <c r="I9" s="219">
        <v>2472691</v>
      </c>
      <c r="J9" s="219">
        <v>1614414</v>
      </c>
    </row>
    <row r="10" spans="1:10" x14ac:dyDescent="0.25">
      <c r="A10" s="208" t="str">
        <f t="shared" si="0"/>
        <v>mar2010</v>
      </c>
      <c r="B10" s="208" t="str">
        <f t="shared" si="1"/>
        <v>mar</v>
      </c>
      <c r="C10" s="208">
        <f t="shared" si="2"/>
        <v>2010</v>
      </c>
      <c r="D10" s="208" t="str">
        <f t="shared" si="3"/>
        <v>mar</v>
      </c>
      <c r="E10" s="221">
        <v>40269</v>
      </c>
      <c r="F10" s="221">
        <v>40268</v>
      </c>
      <c r="G10" s="220"/>
      <c r="H10" s="219">
        <v>4114250</v>
      </c>
      <c r="I10" s="219">
        <v>2495615</v>
      </c>
      <c r="J10" s="219">
        <v>1618635</v>
      </c>
    </row>
    <row r="11" spans="1:10" x14ac:dyDescent="0.25">
      <c r="A11" s="208" t="str">
        <f t="shared" si="0"/>
        <v>abr2010</v>
      </c>
      <c r="B11" s="208" t="str">
        <f t="shared" si="1"/>
        <v>abr</v>
      </c>
      <c r="C11" s="208">
        <f t="shared" si="2"/>
        <v>2010</v>
      </c>
      <c r="D11" s="208" t="str">
        <f t="shared" si="3"/>
        <v>abr</v>
      </c>
      <c r="E11" s="221">
        <v>40299</v>
      </c>
      <c r="F11" s="221">
        <v>40298</v>
      </c>
      <c r="G11" s="220"/>
      <c r="H11" s="219">
        <v>4104722</v>
      </c>
      <c r="I11" s="219">
        <v>2483743</v>
      </c>
      <c r="J11" s="219">
        <v>1620979</v>
      </c>
    </row>
    <row r="12" spans="1:10" x14ac:dyDescent="0.25">
      <c r="A12" s="208" t="str">
        <f t="shared" si="0"/>
        <v>may2010</v>
      </c>
      <c r="B12" s="208" t="str">
        <f t="shared" si="1"/>
        <v>may</v>
      </c>
      <c r="C12" s="208">
        <f t="shared" si="2"/>
        <v>2010</v>
      </c>
      <c r="D12" s="208" t="str">
        <f t="shared" si="3"/>
        <v>may</v>
      </c>
      <c r="E12" s="221">
        <v>40330</v>
      </c>
      <c r="F12" s="221">
        <v>40329</v>
      </c>
      <c r="G12" s="220"/>
      <c r="H12" s="219">
        <v>4056452</v>
      </c>
      <c r="I12" s="219">
        <v>2464396</v>
      </c>
      <c r="J12" s="219">
        <v>1592056</v>
      </c>
    </row>
    <row r="13" spans="1:10" x14ac:dyDescent="0.25">
      <c r="A13" s="208" t="str">
        <f t="shared" si="0"/>
        <v>jun2010</v>
      </c>
      <c r="B13" s="208" t="str">
        <f t="shared" si="1"/>
        <v>jun</v>
      </c>
      <c r="C13" s="208">
        <f t="shared" si="2"/>
        <v>2010</v>
      </c>
      <c r="D13" s="208" t="str">
        <f t="shared" si="3"/>
        <v>jun</v>
      </c>
      <c r="E13" s="221">
        <v>40360</v>
      </c>
      <c r="F13" s="221">
        <v>40359</v>
      </c>
      <c r="G13" s="220"/>
      <c r="H13" s="219">
        <v>4126977</v>
      </c>
      <c r="I13" s="219">
        <v>2504540</v>
      </c>
      <c r="J13" s="219">
        <v>1622437</v>
      </c>
    </row>
    <row r="14" spans="1:10" x14ac:dyDescent="0.25">
      <c r="A14" s="208" t="str">
        <f t="shared" si="0"/>
        <v>jul2010</v>
      </c>
      <c r="B14" s="208" t="str">
        <f t="shared" si="1"/>
        <v>jul</v>
      </c>
      <c r="C14" s="208">
        <f t="shared" si="2"/>
        <v>2010</v>
      </c>
      <c r="D14" s="208" t="str">
        <f t="shared" si="3"/>
        <v>jul</v>
      </c>
      <c r="E14" s="221">
        <v>40391</v>
      </c>
      <c r="F14" s="221">
        <v>40390</v>
      </c>
      <c r="G14" s="220"/>
      <c r="H14" s="219">
        <v>4165830</v>
      </c>
      <c r="I14" s="219">
        <v>2528944</v>
      </c>
      <c r="J14" s="219">
        <v>1636886</v>
      </c>
    </row>
    <row r="15" spans="1:10" x14ac:dyDescent="0.25">
      <c r="A15" s="208" t="str">
        <f t="shared" si="0"/>
        <v>ago2010</v>
      </c>
      <c r="B15" s="208" t="str">
        <f t="shared" si="1"/>
        <v>ago</v>
      </c>
      <c r="C15" s="208">
        <f t="shared" si="2"/>
        <v>2010</v>
      </c>
      <c r="D15" s="208" t="str">
        <f t="shared" si="3"/>
        <v>ago</v>
      </c>
      <c r="E15" s="221">
        <v>40422</v>
      </c>
      <c r="F15" s="221">
        <v>40421</v>
      </c>
      <c r="G15" s="220"/>
      <c r="H15" s="219">
        <v>4186683</v>
      </c>
      <c r="I15" s="219">
        <v>2545603</v>
      </c>
      <c r="J15" s="219">
        <v>1641080</v>
      </c>
    </row>
    <row r="16" spans="1:10" x14ac:dyDescent="0.25">
      <c r="A16" s="208" t="str">
        <f t="shared" si="0"/>
        <v>sept2010</v>
      </c>
      <c r="B16" s="208" t="str">
        <f t="shared" si="1"/>
        <v>sept</v>
      </c>
      <c r="C16" s="208">
        <f t="shared" si="2"/>
        <v>2010</v>
      </c>
      <c r="D16" s="208" t="str">
        <f t="shared" si="3"/>
        <v>sept</v>
      </c>
      <c r="E16" s="221">
        <v>40452</v>
      </c>
      <c r="F16" s="221">
        <v>40451</v>
      </c>
      <c r="G16" s="220"/>
      <c r="H16" s="219">
        <v>4176607</v>
      </c>
      <c r="I16" s="219">
        <v>2539138</v>
      </c>
      <c r="J16" s="219">
        <v>1637469</v>
      </c>
    </row>
    <row r="17" spans="1:10" x14ac:dyDescent="0.25">
      <c r="A17" s="208" t="str">
        <f t="shared" si="0"/>
        <v>oct - dic2010</v>
      </c>
      <c r="B17" s="208" t="str">
        <f t="shared" si="1"/>
        <v>oct - dic</v>
      </c>
      <c r="C17" s="208">
        <f t="shared" si="2"/>
        <v>2010</v>
      </c>
      <c r="D17" s="208" t="str">
        <f t="shared" si="3"/>
        <v>oct</v>
      </c>
      <c r="E17" s="221">
        <v>40483</v>
      </c>
      <c r="F17" s="221">
        <v>40482</v>
      </c>
      <c r="G17" s="220"/>
      <c r="H17" s="219">
        <v>4237406</v>
      </c>
      <c r="I17" s="219">
        <v>2578189</v>
      </c>
      <c r="J17" s="219">
        <v>1659217</v>
      </c>
    </row>
    <row r="18" spans="1:10" x14ac:dyDescent="0.25">
      <c r="A18" s="208" t="str">
        <f t="shared" si="0"/>
        <v>oct - dic2010</v>
      </c>
      <c r="B18" s="208" t="str">
        <f t="shared" si="1"/>
        <v>oct - dic</v>
      </c>
      <c r="C18" s="208">
        <f t="shared" si="2"/>
        <v>2010</v>
      </c>
      <c r="D18" s="208" t="str">
        <f t="shared" si="3"/>
        <v>nov</v>
      </c>
      <c r="E18" s="221">
        <v>40513</v>
      </c>
      <c r="F18" s="221">
        <v>40512</v>
      </c>
      <c r="G18" s="220"/>
      <c r="H18" s="219">
        <v>4325782</v>
      </c>
      <c r="I18" s="219">
        <v>2621883</v>
      </c>
      <c r="J18" s="219">
        <v>1703899</v>
      </c>
    </row>
    <row r="19" spans="1:10" x14ac:dyDescent="0.25">
      <c r="A19" s="208" t="str">
        <f t="shared" si="0"/>
        <v>oct - dic2010</v>
      </c>
      <c r="B19" s="208" t="str">
        <f t="shared" si="1"/>
        <v>oct - dic</v>
      </c>
      <c r="C19" s="208">
        <f t="shared" si="2"/>
        <v>2010</v>
      </c>
      <c r="D19" s="208" t="str">
        <f t="shared" si="3"/>
        <v>dic</v>
      </c>
      <c r="E19" s="221">
        <v>40544</v>
      </c>
      <c r="F19" s="221">
        <v>40543</v>
      </c>
      <c r="G19" s="220"/>
      <c r="H19" s="219">
        <v>4367075</v>
      </c>
      <c r="I19" s="219">
        <v>2633836</v>
      </c>
      <c r="J19" s="219">
        <v>1733239</v>
      </c>
    </row>
    <row r="20" spans="1:10" x14ac:dyDescent="0.25">
      <c r="A20" s="208" t="str">
        <f t="shared" si="0"/>
        <v>ene2011</v>
      </c>
      <c r="B20" s="208" t="str">
        <f t="shared" si="1"/>
        <v>ene</v>
      </c>
      <c r="C20" s="208">
        <f t="shared" si="2"/>
        <v>2011</v>
      </c>
      <c r="D20" s="208" t="str">
        <f t="shared" si="3"/>
        <v>ene</v>
      </c>
      <c r="E20" s="221">
        <v>40575</v>
      </c>
      <c r="F20" s="221">
        <v>40574</v>
      </c>
      <c r="G20" s="220"/>
      <c r="H20" s="219">
        <v>4315615</v>
      </c>
      <c r="I20" s="219">
        <v>2615806</v>
      </c>
      <c r="J20" s="219">
        <v>1699809</v>
      </c>
    </row>
    <row r="21" spans="1:10" x14ac:dyDescent="0.25">
      <c r="A21" s="208" t="str">
        <f t="shared" si="0"/>
        <v>feb2011</v>
      </c>
      <c r="B21" s="208" t="str">
        <f t="shared" si="1"/>
        <v>feb</v>
      </c>
      <c r="C21" s="208">
        <f t="shared" si="2"/>
        <v>2011</v>
      </c>
      <c r="D21" s="208" t="str">
        <f t="shared" si="3"/>
        <v>feb</v>
      </c>
      <c r="E21" s="221">
        <v>40603</v>
      </c>
      <c r="F21" s="221">
        <v>40602</v>
      </c>
      <c r="G21" s="220"/>
      <c r="H21" s="219">
        <v>4377387</v>
      </c>
      <c r="I21" s="219">
        <v>2650966</v>
      </c>
      <c r="J21" s="219">
        <v>1726421</v>
      </c>
    </row>
    <row r="22" spans="1:10" x14ac:dyDescent="0.25">
      <c r="A22" s="208" t="str">
        <f t="shared" si="0"/>
        <v>mar2011</v>
      </c>
      <c r="B22" s="208" t="str">
        <f t="shared" si="1"/>
        <v>mar</v>
      </c>
      <c r="C22" s="208">
        <f t="shared" si="2"/>
        <v>2011</v>
      </c>
      <c r="D22" s="208" t="str">
        <f t="shared" si="3"/>
        <v>mar</v>
      </c>
      <c r="E22" s="221">
        <v>40634</v>
      </c>
      <c r="F22" s="221">
        <v>40633</v>
      </c>
      <c r="G22" s="220"/>
      <c r="H22" s="219">
        <v>4371473</v>
      </c>
      <c r="I22" s="219">
        <v>2648745</v>
      </c>
      <c r="J22" s="219">
        <v>1722728</v>
      </c>
    </row>
    <row r="23" spans="1:10" x14ac:dyDescent="0.25">
      <c r="A23" s="208" t="str">
        <f t="shared" si="0"/>
        <v>abr2011</v>
      </c>
      <c r="B23" s="208" t="str">
        <f t="shared" si="1"/>
        <v>abr</v>
      </c>
      <c r="C23" s="208">
        <f t="shared" si="2"/>
        <v>2011</v>
      </c>
      <c r="D23" s="208" t="str">
        <f t="shared" si="3"/>
        <v>abr</v>
      </c>
      <c r="E23" s="221">
        <v>40664</v>
      </c>
      <c r="F23" s="221">
        <v>40663</v>
      </c>
      <c r="G23" s="220" t="s">
        <v>471</v>
      </c>
      <c r="H23" s="219">
        <v>4379441</v>
      </c>
      <c r="I23" s="219">
        <v>2649567</v>
      </c>
      <c r="J23" s="219">
        <v>1729870</v>
      </c>
    </row>
    <row r="24" spans="1:10" x14ac:dyDescent="0.25">
      <c r="A24" s="208" t="str">
        <f t="shared" si="0"/>
        <v>may2011</v>
      </c>
      <c r="B24" s="208" t="str">
        <f t="shared" si="1"/>
        <v>may</v>
      </c>
      <c r="C24" s="208">
        <f t="shared" si="2"/>
        <v>2011</v>
      </c>
      <c r="D24" s="208" t="str">
        <f t="shared" si="3"/>
        <v>may</v>
      </c>
      <c r="E24" s="221">
        <v>40695</v>
      </c>
      <c r="F24" s="221">
        <v>40694</v>
      </c>
      <c r="G24" s="220"/>
      <c r="H24" s="219">
        <v>4318984</v>
      </c>
      <c r="I24" s="219">
        <v>2625501</v>
      </c>
      <c r="J24" s="219">
        <v>1693483</v>
      </c>
    </row>
    <row r="25" spans="1:10" x14ac:dyDescent="0.25">
      <c r="A25" s="208" t="str">
        <f t="shared" si="0"/>
        <v>jun2011</v>
      </c>
      <c r="B25" s="208" t="str">
        <f t="shared" si="1"/>
        <v>jun</v>
      </c>
      <c r="C25" s="208">
        <f t="shared" si="2"/>
        <v>2011</v>
      </c>
      <c r="D25" s="208" t="str">
        <f t="shared" si="3"/>
        <v>jun</v>
      </c>
      <c r="E25" s="221">
        <v>40725</v>
      </c>
      <c r="F25" s="221">
        <v>40724</v>
      </c>
      <c r="G25" s="220"/>
      <c r="H25" s="219">
        <v>4353300</v>
      </c>
      <c r="I25" s="219">
        <v>2648926</v>
      </c>
      <c r="J25" s="219">
        <v>1704374</v>
      </c>
    </row>
    <row r="26" spans="1:10" x14ac:dyDescent="0.25">
      <c r="A26" s="208" t="str">
        <f t="shared" si="0"/>
        <v>jul2011</v>
      </c>
      <c r="B26" s="208" t="str">
        <f t="shared" si="1"/>
        <v>jul</v>
      </c>
      <c r="C26" s="208">
        <f t="shared" si="2"/>
        <v>2011</v>
      </c>
      <c r="D26" s="208" t="str">
        <f t="shared" si="3"/>
        <v>jul</v>
      </c>
      <c r="E26" s="221">
        <v>40756</v>
      </c>
      <c r="F26" s="221">
        <v>40755</v>
      </c>
      <c r="G26" s="220"/>
      <c r="H26" s="219">
        <v>4354908</v>
      </c>
      <c r="I26" s="219">
        <v>2650829</v>
      </c>
      <c r="J26" s="219">
        <v>1704079</v>
      </c>
    </row>
    <row r="27" spans="1:10" x14ac:dyDescent="0.25">
      <c r="A27" s="208" t="str">
        <f t="shared" si="0"/>
        <v>ago2011</v>
      </c>
      <c r="B27" s="208" t="str">
        <f t="shared" si="1"/>
        <v>ago</v>
      </c>
      <c r="C27" s="208">
        <f t="shared" si="2"/>
        <v>2011</v>
      </c>
      <c r="D27" s="208" t="str">
        <f t="shared" si="3"/>
        <v>ago</v>
      </c>
      <c r="E27" s="221">
        <v>40787</v>
      </c>
      <c r="F27" s="221">
        <v>40786</v>
      </c>
      <c r="G27" s="220"/>
      <c r="H27" s="219">
        <v>4383448</v>
      </c>
      <c r="I27" s="219">
        <v>2670922</v>
      </c>
      <c r="J27" s="219">
        <v>1712526</v>
      </c>
    </row>
    <row r="28" spans="1:10" x14ac:dyDescent="0.25">
      <c r="A28" s="208" t="str">
        <f t="shared" si="0"/>
        <v>sept2011</v>
      </c>
      <c r="B28" s="208" t="str">
        <f t="shared" si="1"/>
        <v>sept</v>
      </c>
      <c r="C28" s="208">
        <f t="shared" si="2"/>
        <v>2011</v>
      </c>
      <c r="D28" s="208" t="str">
        <f t="shared" si="3"/>
        <v>sept</v>
      </c>
      <c r="E28" s="221">
        <v>40817</v>
      </c>
      <c r="F28" s="221">
        <v>40816</v>
      </c>
      <c r="G28" s="220"/>
      <c r="H28" s="219">
        <v>4374122</v>
      </c>
      <c r="I28" s="219">
        <v>2666191</v>
      </c>
      <c r="J28" s="219">
        <v>1707931</v>
      </c>
    </row>
    <row r="29" spans="1:10" x14ac:dyDescent="0.25">
      <c r="A29" s="208" t="str">
        <f t="shared" si="0"/>
        <v>oct - dic2011</v>
      </c>
      <c r="B29" s="208" t="str">
        <f t="shared" si="1"/>
        <v>oct - dic</v>
      </c>
      <c r="C29" s="208">
        <f t="shared" si="2"/>
        <v>2011</v>
      </c>
      <c r="D29" s="208" t="str">
        <f t="shared" si="3"/>
        <v>oct</v>
      </c>
      <c r="E29" s="221">
        <v>40848</v>
      </c>
      <c r="F29" s="221">
        <v>40847</v>
      </c>
      <c r="G29" s="220"/>
      <c r="H29" s="219">
        <v>4439081</v>
      </c>
      <c r="I29" s="219">
        <v>2705345</v>
      </c>
      <c r="J29" s="219">
        <v>1733736</v>
      </c>
    </row>
    <row r="30" spans="1:10" x14ac:dyDescent="0.25">
      <c r="A30" s="208" t="str">
        <f t="shared" si="0"/>
        <v>oct - dic2011</v>
      </c>
      <c r="B30" s="208" t="str">
        <f t="shared" si="1"/>
        <v>oct - dic</v>
      </c>
      <c r="C30" s="208">
        <f t="shared" si="2"/>
        <v>2011</v>
      </c>
      <c r="D30" s="208" t="str">
        <f t="shared" si="3"/>
        <v>nov</v>
      </c>
      <c r="E30" s="221">
        <v>40878</v>
      </c>
      <c r="F30" s="221">
        <v>40877</v>
      </c>
      <c r="G30" s="220"/>
      <c r="H30" s="219">
        <v>4543860</v>
      </c>
      <c r="I30" s="219">
        <v>2755179</v>
      </c>
      <c r="J30" s="219">
        <v>1788681</v>
      </c>
    </row>
    <row r="31" spans="1:10" x14ac:dyDescent="0.25">
      <c r="A31" s="208" t="str">
        <f t="shared" si="0"/>
        <v>oct - dic2011</v>
      </c>
      <c r="B31" s="208" t="str">
        <f t="shared" si="1"/>
        <v>oct - dic</v>
      </c>
      <c r="C31" s="208">
        <f t="shared" si="2"/>
        <v>2011</v>
      </c>
      <c r="D31" s="208" t="str">
        <f t="shared" si="3"/>
        <v>dic</v>
      </c>
      <c r="E31" s="221">
        <v>40909</v>
      </c>
      <c r="F31" s="221">
        <v>40908</v>
      </c>
      <c r="G31" s="220"/>
      <c r="H31" s="219">
        <v>4624991</v>
      </c>
      <c r="I31" s="219">
        <v>2787738</v>
      </c>
      <c r="J31" s="219">
        <v>1837253</v>
      </c>
    </row>
    <row r="32" spans="1:10" x14ac:dyDescent="0.25">
      <c r="A32" s="208" t="str">
        <f t="shared" si="0"/>
        <v>ene2012</v>
      </c>
      <c r="B32" s="208" t="str">
        <f t="shared" si="1"/>
        <v>ene</v>
      </c>
      <c r="C32" s="208">
        <f t="shared" si="2"/>
        <v>2012</v>
      </c>
      <c r="D32" s="208" t="str">
        <f t="shared" si="3"/>
        <v>ene</v>
      </c>
      <c r="E32" s="221">
        <v>40940</v>
      </c>
      <c r="F32" s="221">
        <v>40939</v>
      </c>
      <c r="G32" s="220"/>
      <c r="H32" s="219">
        <v>4564107</v>
      </c>
      <c r="I32" s="219">
        <v>2764641</v>
      </c>
      <c r="J32" s="219">
        <v>1799466</v>
      </c>
    </row>
    <row r="33" spans="1:10" x14ac:dyDescent="0.25">
      <c r="A33" s="208" t="str">
        <f t="shared" si="0"/>
        <v>feb2012</v>
      </c>
      <c r="B33" s="208" t="str">
        <f t="shared" si="1"/>
        <v>feb</v>
      </c>
      <c r="C33" s="208">
        <f t="shared" si="2"/>
        <v>2012</v>
      </c>
      <c r="D33" s="208" t="str">
        <f t="shared" si="3"/>
        <v>feb</v>
      </c>
      <c r="E33" s="221">
        <v>40969</v>
      </c>
      <c r="F33" s="221">
        <v>40968</v>
      </c>
      <c r="G33" s="220"/>
      <c r="H33" s="219">
        <v>4625792</v>
      </c>
      <c r="I33" s="219">
        <v>2798407</v>
      </c>
      <c r="J33" s="219">
        <v>1827385</v>
      </c>
    </row>
    <row r="34" spans="1:10" x14ac:dyDescent="0.25">
      <c r="A34" s="208" t="str">
        <f t="shared" si="0"/>
        <v>mar2012</v>
      </c>
      <c r="B34" s="208" t="str">
        <f t="shared" si="1"/>
        <v>mar</v>
      </c>
      <c r="C34" s="208">
        <f t="shared" si="2"/>
        <v>2012</v>
      </c>
      <c r="D34" s="208" t="str">
        <f t="shared" si="3"/>
        <v>mar</v>
      </c>
      <c r="E34" s="221">
        <v>41000</v>
      </c>
      <c r="F34" s="221">
        <v>40999</v>
      </c>
      <c r="G34" s="220"/>
      <c r="H34" s="219">
        <v>4651345</v>
      </c>
      <c r="I34" s="219">
        <v>2806562</v>
      </c>
      <c r="J34" s="219">
        <v>1844783</v>
      </c>
    </row>
    <row r="35" spans="1:10" x14ac:dyDescent="0.25">
      <c r="A35" s="208" t="str">
        <f t="shared" si="0"/>
        <v>abr2012</v>
      </c>
      <c r="B35" s="208" t="str">
        <f t="shared" si="1"/>
        <v>abr</v>
      </c>
      <c r="C35" s="208">
        <f t="shared" si="2"/>
        <v>2012</v>
      </c>
      <c r="D35" s="208" t="str">
        <f t="shared" si="3"/>
        <v>abr</v>
      </c>
      <c r="E35" s="221">
        <v>41030</v>
      </c>
      <c r="F35" s="221">
        <v>41029</v>
      </c>
      <c r="G35" s="220"/>
      <c r="H35" s="219">
        <v>4626626</v>
      </c>
      <c r="I35" s="219">
        <v>2789778</v>
      </c>
      <c r="J35" s="219">
        <v>1836848</v>
      </c>
    </row>
    <row r="36" spans="1:10" x14ac:dyDescent="0.25">
      <c r="A36" s="208" t="str">
        <f t="shared" si="0"/>
        <v>may2012</v>
      </c>
      <c r="B36" s="208" t="str">
        <f t="shared" si="1"/>
        <v>may</v>
      </c>
      <c r="C36" s="208">
        <f t="shared" si="2"/>
        <v>2012</v>
      </c>
      <c r="D36" s="208" t="str">
        <f t="shared" si="3"/>
        <v>may</v>
      </c>
      <c r="E36" s="221">
        <v>41061</v>
      </c>
      <c r="F36" s="221">
        <v>41060</v>
      </c>
      <c r="G36" s="220"/>
      <c r="H36" s="219">
        <v>4614957</v>
      </c>
      <c r="I36" s="219">
        <v>2789094</v>
      </c>
      <c r="J36" s="219">
        <v>1825863</v>
      </c>
    </row>
    <row r="37" spans="1:10" x14ac:dyDescent="0.25">
      <c r="A37" s="208" t="str">
        <f t="shared" si="0"/>
        <v>jun2012</v>
      </c>
      <c r="B37" s="208" t="str">
        <f t="shared" si="1"/>
        <v>jun</v>
      </c>
      <c r="C37" s="208">
        <f t="shared" si="2"/>
        <v>2012</v>
      </c>
      <c r="D37" s="208" t="str">
        <f t="shared" si="3"/>
        <v>jun</v>
      </c>
      <c r="E37" s="221">
        <v>41091</v>
      </c>
      <c r="F37" s="221">
        <v>41090</v>
      </c>
      <c r="G37" s="220"/>
      <c r="H37" s="219">
        <v>4624272</v>
      </c>
      <c r="I37" s="219">
        <v>2796491</v>
      </c>
      <c r="J37" s="219">
        <v>1827781</v>
      </c>
    </row>
    <row r="38" spans="1:10" x14ac:dyDescent="0.25">
      <c r="A38" s="208" t="str">
        <f t="shared" si="0"/>
        <v>jul2012</v>
      </c>
      <c r="B38" s="208" t="str">
        <f t="shared" si="1"/>
        <v>jul</v>
      </c>
      <c r="C38" s="208">
        <f t="shared" si="2"/>
        <v>2012</v>
      </c>
      <c r="D38" s="208" t="str">
        <f t="shared" si="3"/>
        <v>jul</v>
      </c>
      <c r="E38" s="221">
        <v>41122</v>
      </c>
      <c r="F38" s="221">
        <v>41121</v>
      </c>
      <c r="G38" s="220"/>
      <c r="H38" s="219">
        <v>4659495</v>
      </c>
      <c r="I38" s="219">
        <v>2817863</v>
      </c>
      <c r="J38" s="219">
        <v>1841632</v>
      </c>
    </row>
    <row r="39" spans="1:10" x14ac:dyDescent="0.25">
      <c r="A39" s="208" t="str">
        <f t="shared" si="0"/>
        <v>ago2012</v>
      </c>
      <c r="B39" s="208" t="str">
        <f t="shared" si="1"/>
        <v>ago</v>
      </c>
      <c r="C39" s="208">
        <f t="shared" si="2"/>
        <v>2012</v>
      </c>
      <c r="D39" s="208" t="str">
        <f t="shared" si="3"/>
        <v>ago</v>
      </c>
      <c r="E39" s="221">
        <v>41153</v>
      </c>
      <c r="F39" s="221">
        <v>41152</v>
      </c>
      <c r="G39" s="220"/>
      <c r="H39" s="219">
        <v>4611474</v>
      </c>
      <c r="I39" s="219">
        <v>2790946</v>
      </c>
      <c r="J39" s="219">
        <v>1820528</v>
      </c>
    </row>
    <row r="40" spans="1:10" x14ac:dyDescent="0.25">
      <c r="A40" s="208" t="str">
        <f t="shared" ref="A40:A71" si="4">+B40&amp;C40</f>
        <v>sept2012</v>
      </c>
      <c r="B40" s="208" t="str">
        <f t="shared" ref="B40:B71" si="5">+IF(MONTH(F40)&gt;=10,"oct - dic",D40)</f>
        <v>sept</v>
      </c>
      <c r="C40" s="208">
        <f t="shared" ref="C40:C71" si="6">+YEAR(F40)</f>
        <v>2012</v>
      </c>
      <c r="D40" s="208" t="str">
        <f t="shared" ref="D40:D71" si="7">+TEXT(F40,"mmm")</f>
        <v>sept</v>
      </c>
      <c r="E40" s="221">
        <v>41183</v>
      </c>
      <c r="F40" s="221">
        <v>41182</v>
      </c>
      <c r="G40" s="220"/>
      <c r="H40" s="219">
        <v>4650985</v>
      </c>
      <c r="I40" s="219">
        <v>2807341</v>
      </c>
      <c r="J40" s="219">
        <v>1843644</v>
      </c>
    </row>
    <row r="41" spans="1:10" x14ac:dyDescent="0.25">
      <c r="A41" s="208" t="str">
        <f t="shared" si="4"/>
        <v>oct - dic2012</v>
      </c>
      <c r="B41" s="208" t="str">
        <f t="shared" si="5"/>
        <v>oct - dic</v>
      </c>
      <c r="C41" s="208">
        <f t="shared" si="6"/>
        <v>2012</v>
      </c>
      <c r="D41" s="208" t="str">
        <f t="shared" si="7"/>
        <v>oct</v>
      </c>
      <c r="E41" s="221">
        <v>41214</v>
      </c>
      <c r="F41" s="221">
        <v>41213</v>
      </c>
      <c r="G41" s="220"/>
      <c r="H41" s="219">
        <v>4729535</v>
      </c>
      <c r="I41" s="219">
        <v>2853496</v>
      </c>
      <c r="J41" s="219">
        <v>1876039</v>
      </c>
    </row>
    <row r="42" spans="1:10" x14ac:dyDescent="0.25">
      <c r="A42" s="208" t="str">
        <f t="shared" si="4"/>
        <v>oct - dic2012</v>
      </c>
      <c r="B42" s="208" t="str">
        <f t="shared" si="5"/>
        <v>oct - dic</v>
      </c>
      <c r="C42" s="208">
        <f t="shared" si="6"/>
        <v>2012</v>
      </c>
      <c r="D42" s="208" t="str">
        <f t="shared" si="7"/>
        <v>nov</v>
      </c>
      <c r="E42" s="221">
        <v>41244</v>
      </c>
      <c r="F42" s="221">
        <v>41243</v>
      </c>
      <c r="G42" s="220"/>
      <c r="H42" s="219">
        <v>4763458</v>
      </c>
      <c r="I42" s="219">
        <v>2865467</v>
      </c>
      <c r="J42" s="219">
        <v>1897991</v>
      </c>
    </row>
    <row r="43" spans="1:10" x14ac:dyDescent="0.25">
      <c r="A43" s="208" t="str">
        <f t="shared" si="4"/>
        <v>oct - dic2012</v>
      </c>
      <c r="B43" s="208" t="str">
        <f t="shared" si="5"/>
        <v>oct - dic</v>
      </c>
      <c r="C43" s="208">
        <f t="shared" si="6"/>
        <v>2012</v>
      </c>
      <c r="D43" s="208" t="str">
        <f t="shared" si="7"/>
        <v>dic</v>
      </c>
      <c r="E43" s="221">
        <v>41275</v>
      </c>
      <c r="F43" s="221">
        <v>41274</v>
      </c>
      <c r="G43" s="220"/>
      <c r="H43" s="219">
        <v>4825008</v>
      </c>
      <c r="I43" s="219">
        <v>2882038</v>
      </c>
      <c r="J43" s="219">
        <v>1942970</v>
      </c>
    </row>
    <row r="44" spans="1:10" x14ac:dyDescent="0.25">
      <c r="A44" s="208" t="str">
        <f t="shared" si="4"/>
        <v>ene2013</v>
      </c>
      <c r="B44" s="208" t="str">
        <f t="shared" si="5"/>
        <v>ene</v>
      </c>
      <c r="C44" s="208">
        <f t="shared" si="6"/>
        <v>2013</v>
      </c>
      <c r="D44" s="208" t="str">
        <f t="shared" si="7"/>
        <v>ene</v>
      </c>
      <c r="E44" s="221">
        <v>41306</v>
      </c>
      <c r="F44" s="221">
        <v>41305</v>
      </c>
      <c r="G44" s="220"/>
      <c r="H44" s="219">
        <v>4804441</v>
      </c>
      <c r="I44" s="219">
        <v>2885040</v>
      </c>
      <c r="J44" s="219">
        <v>1919401</v>
      </c>
    </row>
    <row r="45" spans="1:10" x14ac:dyDescent="0.25">
      <c r="A45" s="208" t="str">
        <f t="shared" si="4"/>
        <v>feb2013</v>
      </c>
      <c r="B45" s="208" t="str">
        <f t="shared" si="5"/>
        <v>feb</v>
      </c>
      <c r="C45" s="208">
        <f t="shared" si="6"/>
        <v>2013</v>
      </c>
      <c r="D45" s="208" t="str">
        <f t="shared" si="7"/>
        <v>feb</v>
      </c>
      <c r="E45" s="221">
        <v>41334</v>
      </c>
      <c r="F45" s="221">
        <v>41333</v>
      </c>
      <c r="G45" s="220"/>
      <c r="H45" s="219">
        <v>4802595</v>
      </c>
      <c r="I45" s="219">
        <v>2880010</v>
      </c>
      <c r="J45" s="219">
        <v>1922585</v>
      </c>
    </row>
    <row r="46" spans="1:10" x14ac:dyDescent="0.25">
      <c r="A46" s="208" t="str">
        <f t="shared" si="4"/>
        <v>mar2013</v>
      </c>
      <c r="B46" s="208" t="str">
        <f t="shared" si="5"/>
        <v>mar</v>
      </c>
      <c r="C46" s="208">
        <f t="shared" si="6"/>
        <v>2013</v>
      </c>
      <c r="D46" s="208" t="str">
        <f t="shared" si="7"/>
        <v>mar</v>
      </c>
      <c r="E46" s="221">
        <v>41365</v>
      </c>
      <c r="F46" s="221">
        <v>41364</v>
      </c>
      <c r="G46" s="220"/>
      <c r="H46" s="219">
        <v>4801038</v>
      </c>
      <c r="I46" s="219">
        <v>2868804</v>
      </c>
      <c r="J46" s="219">
        <v>1932234</v>
      </c>
    </row>
    <row r="47" spans="1:10" x14ac:dyDescent="0.25">
      <c r="A47" s="208" t="str">
        <f t="shared" si="4"/>
        <v>abr2013</v>
      </c>
      <c r="B47" s="208" t="str">
        <f t="shared" si="5"/>
        <v>abr</v>
      </c>
      <c r="C47" s="208">
        <f t="shared" si="6"/>
        <v>2013</v>
      </c>
      <c r="D47" s="208" t="str">
        <f t="shared" si="7"/>
        <v>abr</v>
      </c>
      <c r="E47" s="221">
        <v>41395</v>
      </c>
      <c r="F47" s="221">
        <v>41394</v>
      </c>
      <c r="G47" s="220"/>
      <c r="H47" s="219">
        <v>4827537</v>
      </c>
      <c r="I47" s="219">
        <v>2881680</v>
      </c>
      <c r="J47" s="219">
        <v>1945857</v>
      </c>
    </row>
    <row r="48" spans="1:10" x14ac:dyDescent="0.25">
      <c r="A48" s="208" t="str">
        <f t="shared" si="4"/>
        <v>may2013</v>
      </c>
      <c r="B48" s="208" t="str">
        <f t="shared" si="5"/>
        <v>may</v>
      </c>
      <c r="C48" s="208">
        <f t="shared" si="6"/>
        <v>2013</v>
      </c>
      <c r="D48" s="208" t="str">
        <f t="shared" si="7"/>
        <v>may</v>
      </c>
      <c r="E48" s="221">
        <v>41426</v>
      </c>
      <c r="F48" s="221">
        <v>41425</v>
      </c>
      <c r="G48" s="220"/>
      <c r="H48" s="219">
        <v>4767777</v>
      </c>
      <c r="I48" s="219">
        <v>2850757</v>
      </c>
      <c r="J48" s="219">
        <v>1917020</v>
      </c>
    </row>
    <row r="49" spans="1:10" x14ac:dyDescent="0.25">
      <c r="A49" s="208" t="str">
        <f t="shared" si="4"/>
        <v>jun2013</v>
      </c>
      <c r="B49" s="208" t="str">
        <f t="shared" si="5"/>
        <v>jun</v>
      </c>
      <c r="C49" s="208">
        <f t="shared" si="6"/>
        <v>2013</v>
      </c>
      <c r="D49" s="208" t="str">
        <f t="shared" si="7"/>
        <v>jun</v>
      </c>
      <c r="E49" s="221">
        <v>41456</v>
      </c>
      <c r="F49" s="221">
        <v>41455</v>
      </c>
      <c r="G49" s="220"/>
      <c r="H49" s="219">
        <v>4762466</v>
      </c>
      <c r="I49" s="219">
        <v>2840884</v>
      </c>
      <c r="J49" s="219">
        <v>1921582</v>
      </c>
    </row>
    <row r="50" spans="1:10" x14ac:dyDescent="0.25">
      <c r="A50" s="208" t="str">
        <f t="shared" si="4"/>
        <v>jul2013</v>
      </c>
      <c r="B50" s="208" t="str">
        <f t="shared" si="5"/>
        <v>jul</v>
      </c>
      <c r="C50" s="208">
        <f t="shared" si="6"/>
        <v>2013</v>
      </c>
      <c r="D50" s="208" t="str">
        <f t="shared" si="7"/>
        <v>jul</v>
      </c>
      <c r="E50" s="221">
        <v>41487</v>
      </c>
      <c r="F50" s="221">
        <v>41486</v>
      </c>
      <c r="G50" s="220"/>
      <c r="H50" s="219">
        <v>4800029</v>
      </c>
      <c r="I50" s="219">
        <v>2867457</v>
      </c>
      <c r="J50" s="219">
        <v>1932572</v>
      </c>
    </row>
    <row r="51" spans="1:10" x14ac:dyDescent="0.25">
      <c r="A51" s="208" t="str">
        <f t="shared" si="4"/>
        <v>ago2013</v>
      </c>
      <c r="B51" s="208" t="str">
        <f t="shared" si="5"/>
        <v>ago</v>
      </c>
      <c r="C51" s="208">
        <f t="shared" si="6"/>
        <v>2013</v>
      </c>
      <c r="D51" s="208" t="str">
        <f t="shared" si="7"/>
        <v>ago</v>
      </c>
      <c r="E51" s="221">
        <v>41518</v>
      </c>
      <c r="F51" s="221">
        <v>41517</v>
      </c>
      <c r="G51" s="220"/>
      <c r="H51" s="219">
        <v>4784884</v>
      </c>
      <c r="I51" s="219">
        <v>2852482</v>
      </c>
      <c r="J51" s="219">
        <v>1932402</v>
      </c>
    </row>
    <row r="52" spans="1:10" x14ac:dyDescent="0.25">
      <c r="A52" s="208" t="str">
        <f t="shared" si="4"/>
        <v>sept2013</v>
      </c>
      <c r="B52" s="208" t="str">
        <f t="shared" si="5"/>
        <v>sept</v>
      </c>
      <c r="C52" s="208">
        <f t="shared" si="6"/>
        <v>2013</v>
      </c>
      <c r="D52" s="208" t="str">
        <f t="shared" si="7"/>
        <v>sept</v>
      </c>
      <c r="E52" s="221">
        <v>41548</v>
      </c>
      <c r="F52" s="221">
        <v>41547</v>
      </c>
      <c r="G52" s="220"/>
      <c r="H52" s="219">
        <v>4756143</v>
      </c>
      <c r="I52" s="219">
        <v>2830529</v>
      </c>
      <c r="J52" s="219">
        <v>1925614</v>
      </c>
    </row>
    <row r="53" spans="1:10" x14ac:dyDescent="0.25">
      <c r="A53" s="208" t="str">
        <f t="shared" si="4"/>
        <v>oct - dic2013</v>
      </c>
      <c r="B53" s="208" t="str">
        <f t="shared" si="5"/>
        <v>oct - dic</v>
      </c>
      <c r="C53" s="208">
        <f t="shared" si="6"/>
        <v>2013</v>
      </c>
      <c r="D53" s="208" t="str">
        <f t="shared" si="7"/>
        <v>oct</v>
      </c>
      <c r="E53" s="221">
        <v>41579</v>
      </c>
      <c r="F53" s="221">
        <v>41578</v>
      </c>
      <c r="G53" s="220"/>
      <c r="H53" s="219">
        <v>4832535</v>
      </c>
      <c r="I53" s="219">
        <v>2888361</v>
      </c>
      <c r="J53" s="219">
        <v>1944174</v>
      </c>
    </row>
    <row r="54" spans="1:10" x14ac:dyDescent="0.25">
      <c r="A54" s="208" t="str">
        <f t="shared" si="4"/>
        <v>oct - dic2013</v>
      </c>
      <c r="B54" s="208" t="str">
        <f t="shared" si="5"/>
        <v>oct - dic</v>
      </c>
      <c r="C54" s="208">
        <f t="shared" si="6"/>
        <v>2013</v>
      </c>
      <c r="D54" s="208" t="str">
        <f t="shared" si="7"/>
        <v>nov</v>
      </c>
      <c r="E54" s="221">
        <v>41609</v>
      </c>
      <c r="F54" s="221">
        <v>41608</v>
      </c>
      <c r="G54" s="220"/>
      <c r="H54" s="219">
        <v>4874574</v>
      </c>
      <c r="I54" s="219">
        <v>2902167</v>
      </c>
      <c r="J54" s="219">
        <v>1972407</v>
      </c>
    </row>
    <row r="55" spans="1:10" x14ac:dyDescent="0.25">
      <c r="A55" s="208" t="str">
        <f t="shared" si="4"/>
        <v>oct - dic2013</v>
      </c>
      <c r="B55" s="208" t="str">
        <f t="shared" si="5"/>
        <v>oct - dic</v>
      </c>
      <c r="C55" s="208">
        <f t="shared" si="6"/>
        <v>2013</v>
      </c>
      <c r="D55" s="208" t="str">
        <f t="shared" si="7"/>
        <v>dic</v>
      </c>
      <c r="E55" s="221">
        <v>41640</v>
      </c>
      <c r="F55" s="221">
        <v>41639</v>
      </c>
      <c r="G55" s="220"/>
      <c r="H55" s="219">
        <v>4960739</v>
      </c>
      <c r="I55" s="219">
        <v>2927962</v>
      </c>
      <c r="J55" s="219">
        <v>2032777</v>
      </c>
    </row>
    <row r="56" spans="1:10" x14ac:dyDescent="0.25">
      <c r="A56" s="208" t="str">
        <f t="shared" si="4"/>
        <v>ene2014</v>
      </c>
      <c r="B56" s="208" t="str">
        <f t="shared" si="5"/>
        <v>ene</v>
      </c>
      <c r="C56" s="208">
        <f t="shared" si="6"/>
        <v>2014</v>
      </c>
      <c r="D56" s="208" t="str">
        <f t="shared" si="7"/>
        <v>ene</v>
      </c>
      <c r="E56" s="221">
        <v>41671</v>
      </c>
      <c r="F56" s="221">
        <v>41670</v>
      </c>
      <c r="G56" s="220"/>
      <c r="H56" s="219">
        <v>4849116</v>
      </c>
      <c r="I56" s="219">
        <v>2881118</v>
      </c>
      <c r="J56" s="219">
        <v>1967998</v>
      </c>
    </row>
    <row r="57" spans="1:10" x14ac:dyDescent="0.25">
      <c r="A57" s="208" t="str">
        <f t="shared" si="4"/>
        <v>feb2014</v>
      </c>
      <c r="B57" s="208" t="str">
        <f t="shared" si="5"/>
        <v>feb</v>
      </c>
      <c r="C57" s="208">
        <f t="shared" si="6"/>
        <v>2014</v>
      </c>
      <c r="D57" s="208" t="str">
        <f t="shared" si="7"/>
        <v>feb</v>
      </c>
      <c r="E57" s="221">
        <v>41699</v>
      </c>
      <c r="F57" s="221">
        <v>41698</v>
      </c>
      <c r="G57" s="220"/>
      <c r="H57" s="219">
        <v>4908381</v>
      </c>
      <c r="I57" s="219">
        <v>2908994</v>
      </c>
      <c r="J57" s="219">
        <v>1999387</v>
      </c>
    </row>
    <row r="58" spans="1:10" x14ac:dyDescent="0.25">
      <c r="A58" s="208" t="str">
        <f t="shared" si="4"/>
        <v>mar2014</v>
      </c>
      <c r="B58" s="208" t="str">
        <f t="shared" si="5"/>
        <v>mar</v>
      </c>
      <c r="C58" s="208">
        <f t="shared" si="6"/>
        <v>2014</v>
      </c>
      <c r="D58" s="208" t="str">
        <f t="shared" si="7"/>
        <v>mar</v>
      </c>
      <c r="E58" s="221">
        <v>41730</v>
      </c>
      <c r="F58" s="221">
        <v>41729</v>
      </c>
      <c r="G58" s="220"/>
      <c r="H58" s="219">
        <v>4921343</v>
      </c>
      <c r="I58" s="219">
        <v>2905740</v>
      </c>
      <c r="J58" s="219">
        <v>2015603</v>
      </c>
    </row>
    <row r="59" spans="1:10" x14ac:dyDescent="0.25">
      <c r="A59" s="208" t="str">
        <f t="shared" si="4"/>
        <v>abr2014</v>
      </c>
      <c r="B59" s="208" t="str">
        <f t="shared" si="5"/>
        <v>abr</v>
      </c>
      <c r="C59" s="208">
        <f t="shared" si="6"/>
        <v>2014</v>
      </c>
      <c r="D59" s="208" t="str">
        <f t="shared" si="7"/>
        <v>abr</v>
      </c>
      <c r="E59" s="221">
        <v>41760</v>
      </c>
      <c r="F59" s="221">
        <v>41759</v>
      </c>
      <c r="G59" s="220"/>
      <c r="H59" s="219">
        <v>4900559</v>
      </c>
      <c r="I59" s="219">
        <v>2889669</v>
      </c>
      <c r="J59" s="219">
        <v>2010890</v>
      </c>
    </row>
    <row r="60" spans="1:10" x14ac:dyDescent="0.25">
      <c r="A60" s="208" t="str">
        <f t="shared" si="4"/>
        <v>may2014</v>
      </c>
      <c r="B60" s="208" t="str">
        <f t="shared" si="5"/>
        <v>may</v>
      </c>
      <c r="C60" s="208">
        <f t="shared" si="6"/>
        <v>2014</v>
      </c>
      <c r="D60" s="208" t="str">
        <f t="shared" si="7"/>
        <v>may</v>
      </c>
      <c r="E60" s="221">
        <v>41791</v>
      </c>
      <c r="F60" s="221">
        <v>41790</v>
      </c>
      <c r="G60" s="220"/>
      <c r="H60" s="219">
        <v>4839423</v>
      </c>
      <c r="I60" s="219">
        <v>2856644</v>
      </c>
      <c r="J60" s="219">
        <v>1982779</v>
      </c>
    </row>
    <row r="61" spans="1:10" x14ac:dyDescent="0.25">
      <c r="A61" s="208" t="str">
        <f t="shared" si="4"/>
        <v>jun2014</v>
      </c>
      <c r="B61" s="208" t="str">
        <f t="shared" si="5"/>
        <v>jun</v>
      </c>
      <c r="C61" s="208">
        <f t="shared" si="6"/>
        <v>2014</v>
      </c>
      <c r="D61" s="208" t="str">
        <f t="shared" si="7"/>
        <v>jun</v>
      </c>
      <c r="E61" s="221">
        <v>41821</v>
      </c>
      <c r="F61" s="221">
        <v>41820</v>
      </c>
      <c r="G61" s="220"/>
      <c r="H61" s="219">
        <v>4851262</v>
      </c>
      <c r="I61" s="219">
        <v>2852157</v>
      </c>
      <c r="J61" s="219">
        <v>1999105</v>
      </c>
    </row>
    <row r="62" spans="1:10" x14ac:dyDescent="0.25">
      <c r="A62" s="208" t="str">
        <f t="shared" si="4"/>
        <v>jul2014</v>
      </c>
      <c r="B62" s="208" t="str">
        <f t="shared" si="5"/>
        <v>jul</v>
      </c>
      <c r="C62" s="208">
        <f t="shared" si="6"/>
        <v>2014</v>
      </c>
      <c r="D62" s="208" t="str">
        <f t="shared" si="7"/>
        <v>jul</v>
      </c>
      <c r="E62" s="221">
        <v>41852</v>
      </c>
      <c r="F62" s="221">
        <v>41851</v>
      </c>
      <c r="G62" s="220"/>
      <c r="H62" s="219">
        <v>4855739</v>
      </c>
      <c r="I62" s="219">
        <v>2859082</v>
      </c>
      <c r="J62" s="219">
        <v>1996657</v>
      </c>
    </row>
    <row r="63" spans="1:10" x14ac:dyDescent="0.25">
      <c r="A63" s="208" t="str">
        <f t="shared" si="4"/>
        <v>ago2014</v>
      </c>
      <c r="B63" s="208" t="str">
        <f t="shared" si="5"/>
        <v>ago</v>
      </c>
      <c r="C63" s="208">
        <f t="shared" si="6"/>
        <v>2014</v>
      </c>
      <c r="D63" s="208" t="str">
        <f t="shared" si="7"/>
        <v>ago</v>
      </c>
      <c r="E63" s="221">
        <v>41883</v>
      </c>
      <c r="F63" s="221">
        <v>41882</v>
      </c>
      <c r="G63" s="220"/>
      <c r="H63" s="219">
        <v>4850242</v>
      </c>
      <c r="I63" s="219">
        <v>2854271</v>
      </c>
      <c r="J63" s="219">
        <v>1995971</v>
      </c>
    </row>
    <row r="64" spans="1:10" x14ac:dyDescent="0.25">
      <c r="A64" s="208" t="str">
        <f t="shared" si="4"/>
        <v>sept2014</v>
      </c>
      <c r="B64" s="208" t="str">
        <f t="shared" si="5"/>
        <v>sept</v>
      </c>
      <c r="C64" s="208">
        <f t="shared" si="6"/>
        <v>2014</v>
      </c>
      <c r="D64" s="208" t="str">
        <f t="shared" si="7"/>
        <v>sept</v>
      </c>
      <c r="E64" s="221">
        <v>41913</v>
      </c>
      <c r="F64" s="221">
        <v>41912</v>
      </c>
      <c r="G64" s="220"/>
      <c r="H64" s="219">
        <v>4845158</v>
      </c>
      <c r="I64" s="219">
        <v>2849924</v>
      </c>
      <c r="J64" s="219">
        <v>1995234</v>
      </c>
    </row>
    <row r="65" spans="1:10" x14ac:dyDescent="0.25">
      <c r="A65" s="208" t="str">
        <f t="shared" si="4"/>
        <v>oct - dic2014</v>
      </c>
      <c r="B65" s="208" t="str">
        <f t="shared" si="5"/>
        <v>oct - dic</v>
      </c>
      <c r="C65" s="208">
        <f t="shared" si="6"/>
        <v>2014</v>
      </c>
      <c r="D65" s="208" t="str">
        <f t="shared" si="7"/>
        <v>oct</v>
      </c>
      <c r="E65" s="221">
        <v>41944</v>
      </c>
      <c r="F65" s="221">
        <v>41943</v>
      </c>
      <c r="G65" s="220"/>
      <c r="H65" s="219">
        <v>4890161</v>
      </c>
      <c r="I65" s="219">
        <v>2878453</v>
      </c>
      <c r="J65" s="219">
        <v>2011708</v>
      </c>
    </row>
    <row r="66" spans="1:10" x14ac:dyDescent="0.25">
      <c r="A66" s="208" t="str">
        <f t="shared" si="4"/>
        <v>oct - dic2014</v>
      </c>
      <c r="B66" s="208" t="str">
        <f t="shared" si="5"/>
        <v>oct - dic</v>
      </c>
      <c r="C66" s="208">
        <f t="shared" si="6"/>
        <v>2014</v>
      </c>
      <c r="D66" s="208" t="str">
        <f t="shared" si="7"/>
        <v>nov</v>
      </c>
      <c r="E66" s="221">
        <v>41974</v>
      </c>
      <c r="F66" s="221">
        <v>41973</v>
      </c>
      <c r="G66" s="220"/>
      <c r="H66" s="219">
        <v>4965216</v>
      </c>
      <c r="I66" s="219">
        <v>2906148</v>
      </c>
      <c r="J66" s="219">
        <v>2059068</v>
      </c>
    </row>
    <row r="67" spans="1:10" x14ac:dyDescent="0.25">
      <c r="A67" s="208" t="str">
        <f t="shared" si="4"/>
        <v>oct - dic2014</v>
      </c>
      <c r="B67" s="208" t="str">
        <f t="shared" si="5"/>
        <v>oct - dic</v>
      </c>
      <c r="C67" s="208">
        <f t="shared" si="6"/>
        <v>2014</v>
      </c>
      <c r="D67" s="208" t="str">
        <f t="shared" si="7"/>
        <v>dic</v>
      </c>
      <c r="E67" s="221">
        <v>42005</v>
      </c>
      <c r="F67" s="221">
        <v>42004</v>
      </c>
      <c r="G67" s="220"/>
      <c r="H67" s="219">
        <v>5042892</v>
      </c>
      <c r="I67" s="219">
        <v>2935140</v>
      </c>
      <c r="J67" s="219">
        <v>2107752</v>
      </c>
    </row>
    <row r="68" spans="1:10" x14ac:dyDescent="0.25">
      <c r="A68" s="208" t="str">
        <f t="shared" si="4"/>
        <v>ene2015</v>
      </c>
      <c r="B68" s="208" t="str">
        <f t="shared" si="5"/>
        <v>ene</v>
      </c>
      <c r="C68" s="208">
        <f t="shared" si="6"/>
        <v>2015</v>
      </c>
      <c r="D68" s="208" t="str">
        <f t="shared" si="7"/>
        <v>ene</v>
      </c>
      <c r="E68" s="221">
        <v>42036</v>
      </c>
      <c r="F68" s="221">
        <v>42035</v>
      </c>
      <c r="G68" s="220"/>
      <c r="H68" s="219">
        <v>4958877</v>
      </c>
      <c r="I68" s="219">
        <v>2904141</v>
      </c>
      <c r="J68" s="219">
        <v>2054736</v>
      </c>
    </row>
    <row r="69" spans="1:10" x14ac:dyDescent="0.25">
      <c r="A69" s="208" t="str">
        <f t="shared" si="4"/>
        <v>feb2015</v>
      </c>
      <c r="B69" s="208" t="str">
        <f t="shared" si="5"/>
        <v>feb</v>
      </c>
      <c r="C69" s="208">
        <f t="shared" si="6"/>
        <v>2015</v>
      </c>
      <c r="D69" s="208" t="str">
        <f t="shared" si="7"/>
        <v>feb</v>
      </c>
      <c r="E69" s="221">
        <v>42064</v>
      </c>
      <c r="F69" s="221">
        <v>42063</v>
      </c>
      <c r="G69" s="220"/>
      <c r="H69" s="219">
        <v>5014410</v>
      </c>
      <c r="I69" s="219">
        <v>2937887</v>
      </c>
      <c r="J69" s="219">
        <v>2076523</v>
      </c>
    </row>
    <row r="70" spans="1:10" x14ac:dyDescent="0.25">
      <c r="A70" s="208" t="str">
        <f t="shared" si="4"/>
        <v>mar2015</v>
      </c>
      <c r="B70" s="208" t="str">
        <f t="shared" si="5"/>
        <v>mar</v>
      </c>
      <c r="C70" s="208">
        <f t="shared" si="6"/>
        <v>2015</v>
      </c>
      <c r="D70" s="208" t="str">
        <f t="shared" si="7"/>
        <v>mar</v>
      </c>
      <c r="E70" s="221">
        <v>42095</v>
      </c>
      <c r="F70" s="221">
        <v>42094</v>
      </c>
      <c r="G70" s="220"/>
      <c r="H70" s="219">
        <v>5006681</v>
      </c>
      <c r="I70" s="219">
        <v>2928503</v>
      </c>
      <c r="J70" s="219">
        <v>2078178</v>
      </c>
    </row>
    <row r="71" spans="1:10" x14ac:dyDescent="0.25">
      <c r="A71" s="208" t="str">
        <f t="shared" si="4"/>
        <v>abr2015</v>
      </c>
      <c r="B71" s="208" t="str">
        <f t="shared" si="5"/>
        <v>abr</v>
      </c>
      <c r="C71" s="208">
        <f t="shared" si="6"/>
        <v>2015</v>
      </c>
      <c r="D71" s="208" t="str">
        <f t="shared" si="7"/>
        <v>abr</v>
      </c>
      <c r="E71" s="221">
        <v>42125</v>
      </c>
      <c r="F71" s="221">
        <v>42124</v>
      </c>
      <c r="G71" s="220"/>
      <c r="H71" s="219">
        <v>4956937</v>
      </c>
      <c r="I71" s="219">
        <v>2894594</v>
      </c>
      <c r="J71" s="219">
        <v>2062343</v>
      </c>
    </row>
    <row r="72" spans="1:10" x14ac:dyDescent="0.25">
      <c r="A72" s="208" t="str">
        <f t="shared" ref="A72:A103" si="8">+B72&amp;C72</f>
        <v>may2015</v>
      </c>
      <c r="B72" s="208" t="str">
        <f t="shared" ref="B72:B103" si="9">+IF(MONTH(F72)&gt;=10,"oct - dic",D72)</f>
        <v>may</v>
      </c>
      <c r="C72" s="208">
        <f t="shared" ref="C72:C103" si="10">+YEAR(F72)</f>
        <v>2015</v>
      </c>
      <c r="D72" s="208" t="str">
        <f t="shared" ref="D72:D103" si="11">+TEXT(F72,"mmm")</f>
        <v>may</v>
      </c>
      <c r="E72" s="221">
        <v>42156</v>
      </c>
      <c r="F72" s="221">
        <v>42155</v>
      </c>
      <c r="G72" s="220"/>
      <c r="H72" s="219">
        <v>4900829</v>
      </c>
      <c r="I72" s="219">
        <v>2865918</v>
      </c>
      <c r="J72" s="219">
        <v>2034911</v>
      </c>
    </row>
    <row r="73" spans="1:10" x14ac:dyDescent="0.25">
      <c r="A73" s="208" t="str">
        <f t="shared" si="8"/>
        <v>jun2015</v>
      </c>
      <c r="B73" s="208" t="str">
        <f t="shared" si="9"/>
        <v>jun</v>
      </c>
      <c r="C73" s="208">
        <f t="shared" si="10"/>
        <v>2015</v>
      </c>
      <c r="D73" s="208" t="str">
        <f t="shared" si="11"/>
        <v>jun</v>
      </c>
      <c r="E73" s="221">
        <v>42186</v>
      </c>
      <c r="F73" s="221">
        <v>42185</v>
      </c>
      <c r="G73" s="220"/>
      <c r="H73" s="219">
        <v>4956946</v>
      </c>
      <c r="I73" s="219">
        <v>2896698</v>
      </c>
      <c r="J73" s="219">
        <v>2060248</v>
      </c>
    </row>
    <row r="74" spans="1:10" x14ac:dyDescent="0.25">
      <c r="A74" s="208" t="str">
        <f t="shared" si="8"/>
        <v>jul2015</v>
      </c>
      <c r="B74" s="208" t="str">
        <f t="shared" si="9"/>
        <v>jul</v>
      </c>
      <c r="C74" s="208">
        <f t="shared" si="10"/>
        <v>2015</v>
      </c>
      <c r="D74" s="208" t="str">
        <f t="shared" si="11"/>
        <v>jul</v>
      </c>
      <c r="E74" s="221">
        <v>42217</v>
      </c>
      <c r="F74" s="221">
        <v>42216</v>
      </c>
      <c r="G74" s="220"/>
      <c r="H74" s="219">
        <v>4961847</v>
      </c>
      <c r="I74" s="219">
        <v>2903377</v>
      </c>
      <c r="J74" s="219">
        <v>2058470</v>
      </c>
    </row>
    <row r="75" spans="1:10" x14ac:dyDescent="0.25">
      <c r="A75" s="208" t="str">
        <f t="shared" si="8"/>
        <v>ago2015</v>
      </c>
      <c r="B75" s="208" t="str">
        <f t="shared" si="9"/>
        <v>ago</v>
      </c>
      <c r="C75" s="208">
        <f t="shared" si="10"/>
        <v>2015</v>
      </c>
      <c r="D75" s="208" t="str">
        <f t="shared" si="11"/>
        <v>ago</v>
      </c>
      <c r="E75" s="221">
        <v>42248</v>
      </c>
      <c r="F75" s="221">
        <v>42247</v>
      </c>
      <c r="G75" s="220"/>
      <c r="H75" s="219">
        <v>4954608</v>
      </c>
      <c r="I75" s="219">
        <v>2899615</v>
      </c>
      <c r="J75" s="219">
        <v>2054993</v>
      </c>
    </row>
    <row r="76" spans="1:10" x14ac:dyDescent="0.25">
      <c r="A76" s="208" t="str">
        <f t="shared" si="8"/>
        <v>sept2015</v>
      </c>
      <c r="B76" s="208" t="str">
        <f t="shared" si="9"/>
        <v>sept</v>
      </c>
      <c r="C76" s="208">
        <f t="shared" si="10"/>
        <v>2015</v>
      </c>
      <c r="D76" s="208" t="str">
        <f t="shared" si="11"/>
        <v>sept</v>
      </c>
      <c r="E76" s="221">
        <v>42278</v>
      </c>
      <c r="F76" s="221">
        <v>42277</v>
      </c>
      <c r="G76" s="220"/>
      <c r="H76" s="219">
        <v>4954050</v>
      </c>
      <c r="I76" s="219">
        <v>2895477</v>
      </c>
      <c r="J76" s="219">
        <v>2058573</v>
      </c>
    </row>
    <row r="77" spans="1:10" x14ac:dyDescent="0.25">
      <c r="A77" s="208" t="str">
        <f t="shared" si="8"/>
        <v>oct - dic2015</v>
      </c>
      <c r="B77" s="208" t="str">
        <f t="shared" si="9"/>
        <v>oct - dic</v>
      </c>
      <c r="C77" s="208">
        <f t="shared" si="10"/>
        <v>2015</v>
      </c>
      <c r="D77" s="208" t="str">
        <f t="shared" si="11"/>
        <v>oct</v>
      </c>
      <c r="E77" s="221">
        <v>42309</v>
      </c>
      <c r="F77" s="221">
        <v>42308</v>
      </c>
      <c r="G77" s="220"/>
      <c r="H77" s="219">
        <v>4985479</v>
      </c>
      <c r="I77" s="219">
        <v>2916657</v>
      </c>
      <c r="J77" s="219">
        <v>2068822</v>
      </c>
    </row>
    <row r="78" spans="1:10" x14ac:dyDescent="0.25">
      <c r="A78" s="208" t="str">
        <f t="shared" si="8"/>
        <v>oct - dic2015</v>
      </c>
      <c r="B78" s="208" t="str">
        <f t="shared" si="9"/>
        <v>oct - dic</v>
      </c>
      <c r="C78" s="208">
        <f t="shared" si="10"/>
        <v>2015</v>
      </c>
      <c r="D78" s="208" t="str">
        <f t="shared" si="11"/>
        <v>nov</v>
      </c>
      <c r="E78" s="221">
        <v>42339</v>
      </c>
      <c r="F78" s="221">
        <v>42338</v>
      </c>
      <c r="G78" s="220"/>
      <c r="H78" s="219">
        <v>5050755</v>
      </c>
      <c r="I78" s="219">
        <v>2946803</v>
      </c>
      <c r="J78" s="219">
        <v>2103952</v>
      </c>
    </row>
    <row r="79" spans="1:10" x14ac:dyDescent="0.25">
      <c r="A79" s="208" t="str">
        <f t="shared" si="8"/>
        <v>oct - dic2015</v>
      </c>
      <c r="B79" s="208" t="str">
        <f t="shared" si="9"/>
        <v>oct - dic</v>
      </c>
      <c r="C79" s="208">
        <f t="shared" si="10"/>
        <v>2015</v>
      </c>
      <c r="D79" s="208" t="str">
        <f t="shared" si="11"/>
        <v>dic</v>
      </c>
      <c r="E79" s="221">
        <v>42370</v>
      </c>
      <c r="F79" s="221">
        <v>42369</v>
      </c>
      <c r="G79" s="220"/>
      <c r="H79" s="219">
        <v>5109387</v>
      </c>
      <c r="I79" s="219">
        <v>2963370</v>
      </c>
      <c r="J79" s="219">
        <v>2146017</v>
      </c>
    </row>
    <row r="80" spans="1:10" x14ac:dyDescent="0.25">
      <c r="A80" s="208" t="str">
        <f t="shared" si="8"/>
        <v>ene2016</v>
      </c>
      <c r="B80" s="208" t="str">
        <f t="shared" si="9"/>
        <v>ene</v>
      </c>
      <c r="C80" s="208">
        <f t="shared" si="10"/>
        <v>2016</v>
      </c>
      <c r="D80" s="208" t="str">
        <f t="shared" si="11"/>
        <v>ene</v>
      </c>
      <c r="E80" s="221">
        <v>42401</v>
      </c>
      <c r="F80" s="221">
        <v>42400</v>
      </c>
      <c r="G80" s="220"/>
      <c r="H80" s="219">
        <v>5053102</v>
      </c>
      <c r="I80" s="219">
        <v>2943161</v>
      </c>
      <c r="J80" s="219">
        <v>2109941</v>
      </c>
    </row>
    <row r="81" spans="1:10" x14ac:dyDescent="0.25">
      <c r="A81" s="208" t="str">
        <f t="shared" si="8"/>
        <v>feb2016</v>
      </c>
      <c r="B81" s="208" t="str">
        <f t="shared" si="9"/>
        <v>feb</v>
      </c>
      <c r="C81" s="208">
        <f t="shared" si="10"/>
        <v>2016</v>
      </c>
      <c r="D81" s="208" t="str">
        <f t="shared" si="11"/>
        <v>feb</v>
      </c>
      <c r="E81" s="221">
        <v>42430</v>
      </c>
      <c r="F81" s="221">
        <v>42429</v>
      </c>
      <c r="G81" s="220"/>
      <c r="H81" s="219">
        <v>5099243</v>
      </c>
      <c r="I81" s="219">
        <v>2969543</v>
      </c>
      <c r="J81" s="219">
        <v>2129700</v>
      </c>
    </row>
    <row r="82" spans="1:10" x14ac:dyDescent="0.25">
      <c r="A82" s="208" t="str">
        <f t="shared" si="8"/>
        <v>mar2016</v>
      </c>
      <c r="B82" s="208" t="str">
        <f t="shared" si="9"/>
        <v>mar</v>
      </c>
      <c r="C82" s="208">
        <f t="shared" si="10"/>
        <v>2016</v>
      </c>
      <c r="D82" s="208" t="str">
        <f t="shared" si="11"/>
        <v>mar</v>
      </c>
      <c r="E82" s="221">
        <v>42461</v>
      </c>
      <c r="F82" s="221">
        <v>42460</v>
      </c>
      <c r="G82" s="220"/>
      <c r="H82" s="219">
        <v>5088301</v>
      </c>
      <c r="I82" s="219">
        <v>2963732</v>
      </c>
      <c r="J82" s="219">
        <v>2124569</v>
      </c>
    </row>
    <row r="83" spans="1:10" x14ac:dyDescent="0.25">
      <c r="A83" s="208" t="str">
        <f t="shared" si="8"/>
        <v>abr2016</v>
      </c>
      <c r="B83" s="208" t="str">
        <f t="shared" si="9"/>
        <v>abr</v>
      </c>
      <c r="C83" s="208">
        <f t="shared" si="10"/>
        <v>2016</v>
      </c>
      <c r="D83" s="208" t="str">
        <f t="shared" si="11"/>
        <v>abr</v>
      </c>
      <c r="E83" s="221">
        <v>42491</v>
      </c>
      <c r="F83" s="221">
        <v>42490</v>
      </c>
      <c r="G83" s="220"/>
      <c r="H83" s="219">
        <v>5096704</v>
      </c>
      <c r="I83" s="219">
        <v>2960625</v>
      </c>
      <c r="J83" s="219">
        <v>2136079</v>
      </c>
    </row>
    <row r="84" spans="1:10" x14ac:dyDescent="0.25">
      <c r="A84" s="208" t="str">
        <f t="shared" si="8"/>
        <v>may2016</v>
      </c>
      <c r="B84" s="208" t="str">
        <f t="shared" si="9"/>
        <v>may</v>
      </c>
      <c r="C84" s="208">
        <f t="shared" si="10"/>
        <v>2016</v>
      </c>
      <c r="D84" s="208" t="str">
        <f t="shared" si="11"/>
        <v>may</v>
      </c>
      <c r="E84" s="221">
        <v>42522</v>
      </c>
      <c r="F84" s="221">
        <v>42521</v>
      </c>
      <c r="G84" s="220"/>
      <c r="H84" s="219">
        <v>5033140</v>
      </c>
      <c r="I84" s="219">
        <v>2927012</v>
      </c>
      <c r="J84" s="219">
        <v>2106128</v>
      </c>
    </row>
    <row r="85" spans="1:10" x14ac:dyDescent="0.25">
      <c r="A85" s="208" t="str">
        <f t="shared" si="8"/>
        <v>jun2016</v>
      </c>
      <c r="B85" s="208" t="str">
        <f t="shared" si="9"/>
        <v>jun</v>
      </c>
      <c r="C85" s="208">
        <f t="shared" si="10"/>
        <v>2016</v>
      </c>
      <c r="D85" s="208" t="str">
        <f t="shared" si="11"/>
        <v>jun</v>
      </c>
      <c r="E85" s="221">
        <v>42552</v>
      </c>
      <c r="F85" s="221">
        <v>42551</v>
      </c>
      <c r="G85" s="220"/>
      <c r="H85" s="219">
        <v>5007480</v>
      </c>
      <c r="I85" s="219">
        <v>2910399</v>
      </c>
      <c r="J85" s="219">
        <v>2097081</v>
      </c>
    </row>
    <row r="86" spans="1:10" x14ac:dyDescent="0.25">
      <c r="A86" s="208" t="str">
        <f t="shared" si="8"/>
        <v>jul2016</v>
      </c>
      <c r="B86" s="208" t="str">
        <f t="shared" si="9"/>
        <v>jul</v>
      </c>
      <c r="C86" s="208">
        <f t="shared" si="10"/>
        <v>2016</v>
      </c>
      <c r="D86" s="208" t="str">
        <f t="shared" si="11"/>
        <v>jul</v>
      </c>
      <c r="E86" s="221">
        <v>42583</v>
      </c>
      <c r="F86" s="221">
        <v>42582</v>
      </c>
      <c r="G86" s="220" t="s">
        <v>471</v>
      </c>
      <c r="H86" s="219">
        <v>5044506</v>
      </c>
      <c r="I86" s="219">
        <v>2929405</v>
      </c>
      <c r="J86" s="219">
        <v>2115060</v>
      </c>
    </row>
    <row r="87" spans="1:10" x14ac:dyDescent="0.25">
      <c r="A87" s="208" t="str">
        <f t="shared" si="8"/>
        <v>ago2016</v>
      </c>
      <c r="B87" s="208" t="str">
        <f t="shared" si="9"/>
        <v>ago</v>
      </c>
      <c r="C87" s="208">
        <f t="shared" si="10"/>
        <v>2016</v>
      </c>
      <c r="D87" s="208" t="str">
        <f t="shared" si="11"/>
        <v>ago</v>
      </c>
      <c r="E87" s="221">
        <v>42614</v>
      </c>
      <c r="F87" s="221">
        <v>42613</v>
      </c>
      <c r="G87" s="220"/>
      <c r="H87" s="219">
        <v>5027114</v>
      </c>
      <c r="I87" s="219">
        <v>2922014</v>
      </c>
      <c r="J87" s="219">
        <v>2105100</v>
      </c>
    </row>
    <row r="88" spans="1:10" x14ac:dyDescent="0.25">
      <c r="A88" s="208" t="str">
        <f t="shared" si="8"/>
        <v>sept2016</v>
      </c>
      <c r="B88" s="208" t="str">
        <f t="shared" si="9"/>
        <v>sept</v>
      </c>
      <c r="C88" s="208">
        <f t="shared" si="10"/>
        <v>2016</v>
      </c>
      <c r="D88" s="208" t="str">
        <f t="shared" si="11"/>
        <v>sept</v>
      </c>
      <c r="E88" s="221">
        <v>42644</v>
      </c>
      <c r="F88" s="221">
        <v>42643</v>
      </c>
      <c r="G88" s="220"/>
      <c r="H88" s="219">
        <v>5012940</v>
      </c>
      <c r="I88" s="219">
        <v>2908023</v>
      </c>
      <c r="J88" s="219">
        <v>2104917</v>
      </c>
    </row>
    <row r="89" spans="1:10" x14ac:dyDescent="0.25">
      <c r="A89" s="208" t="str">
        <f t="shared" si="8"/>
        <v>oct - dic2016</v>
      </c>
      <c r="B89" s="208" t="str">
        <f t="shared" si="9"/>
        <v>oct - dic</v>
      </c>
      <c r="C89" s="208">
        <f t="shared" si="10"/>
        <v>2016</v>
      </c>
      <c r="D89" s="208" t="str">
        <f t="shared" si="11"/>
        <v>oct</v>
      </c>
      <c r="E89" s="221">
        <v>42675</v>
      </c>
      <c r="F89" s="221">
        <v>42674</v>
      </c>
      <c r="G89" s="220"/>
      <c r="H89" s="219">
        <v>5040137</v>
      </c>
      <c r="I89" s="219">
        <v>2922768</v>
      </c>
      <c r="J89" s="219">
        <v>2117369</v>
      </c>
    </row>
    <row r="90" spans="1:10" x14ac:dyDescent="0.25">
      <c r="A90" s="208" t="str">
        <f t="shared" si="8"/>
        <v>oct - dic2016</v>
      </c>
      <c r="B90" s="208" t="str">
        <f t="shared" si="9"/>
        <v>oct - dic</v>
      </c>
      <c r="C90" s="208">
        <f t="shared" si="10"/>
        <v>2016</v>
      </c>
      <c r="D90" s="208" t="str">
        <f t="shared" si="11"/>
        <v>nov</v>
      </c>
      <c r="E90" s="221">
        <v>42705</v>
      </c>
      <c r="F90" s="221">
        <v>42704</v>
      </c>
      <c r="G90" s="220"/>
      <c r="H90" s="219">
        <v>5139394</v>
      </c>
      <c r="I90" s="219">
        <v>2971724</v>
      </c>
      <c r="J90" s="219">
        <v>2167670</v>
      </c>
    </row>
    <row r="91" spans="1:10" x14ac:dyDescent="0.25">
      <c r="A91" s="208" t="str">
        <f t="shared" si="8"/>
        <v>oct - dic2016</v>
      </c>
      <c r="B91" s="208" t="str">
        <f t="shared" si="9"/>
        <v>oct - dic</v>
      </c>
      <c r="C91" s="208">
        <f t="shared" si="10"/>
        <v>2016</v>
      </c>
      <c r="D91" s="208" t="str">
        <f t="shared" si="11"/>
        <v>dic</v>
      </c>
      <c r="E91" s="221">
        <v>42736</v>
      </c>
      <c r="F91" s="221">
        <v>42735</v>
      </c>
      <c r="G91" s="220"/>
      <c r="H91" s="219">
        <v>5163045</v>
      </c>
      <c r="I91" s="219">
        <v>2968015</v>
      </c>
      <c r="J91" s="219">
        <v>2195030</v>
      </c>
    </row>
    <row r="92" spans="1:10" x14ac:dyDescent="0.25">
      <c r="A92" s="208" t="str">
        <f t="shared" si="8"/>
        <v>ene2017</v>
      </c>
      <c r="B92" s="208" t="str">
        <f t="shared" si="9"/>
        <v>ene</v>
      </c>
      <c r="C92" s="208">
        <f t="shared" si="10"/>
        <v>2017</v>
      </c>
      <c r="D92" s="208" t="str">
        <f t="shared" si="11"/>
        <v>ene</v>
      </c>
      <c r="E92" s="221">
        <v>42767</v>
      </c>
      <c r="F92" s="221">
        <v>42766</v>
      </c>
      <c r="G92" s="220"/>
      <c r="H92" s="219">
        <v>5070823</v>
      </c>
      <c r="I92" s="219">
        <v>2931457</v>
      </c>
      <c r="J92" s="219">
        <v>2139366</v>
      </c>
    </row>
    <row r="93" spans="1:10" x14ac:dyDescent="0.25">
      <c r="A93" s="208" t="str">
        <f t="shared" si="8"/>
        <v>feb2017</v>
      </c>
      <c r="B93" s="208" t="str">
        <f t="shared" si="9"/>
        <v>feb</v>
      </c>
      <c r="C93" s="208">
        <f t="shared" si="10"/>
        <v>2017</v>
      </c>
      <c r="D93" s="208" t="str">
        <f t="shared" si="11"/>
        <v>feb</v>
      </c>
      <c r="E93" s="221">
        <v>42795</v>
      </c>
      <c r="F93" s="221">
        <v>42794</v>
      </c>
      <c r="G93" s="220"/>
      <c r="H93" s="219">
        <v>5142958</v>
      </c>
      <c r="I93" s="219">
        <v>2972022</v>
      </c>
      <c r="J93" s="219">
        <v>2170936</v>
      </c>
    </row>
    <row r="94" spans="1:10" x14ac:dyDescent="0.25">
      <c r="A94" s="208" t="str">
        <f t="shared" si="8"/>
        <v>mar2017</v>
      </c>
      <c r="B94" s="208" t="str">
        <f t="shared" si="9"/>
        <v>mar</v>
      </c>
      <c r="C94" s="208">
        <f t="shared" si="10"/>
        <v>2017</v>
      </c>
      <c r="D94" s="208" t="str">
        <f t="shared" si="11"/>
        <v>mar</v>
      </c>
      <c r="E94" s="221">
        <v>42826</v>
      </c>
      <c r="F94" s="221">
        <v>42825</v>
      </c>
      <c r="G94" s="220"/>
      <c r="H94" s="219">
        <v>5092404</v>
      </c>
      <c r="I94" s="219">
        <v>2944041</v>
      </c>
      <c r="J94" s="219">
        <v>2148363</v>
      </c>
    </row>
    <row r="95" spans="1:10" x14ac:dyDescent="0.25">
      <c r="A95" s="208" t="str">
        <f t="shared" si="8"/>
        <v>abr2017</v>
      </c>
      <c r="B95" s="208" t="str">
        <f t="shared" si="9"/>
        <v>abr</v>
      </c>
      <c r="C95" s="208">
        <f t="shared" si="10"/>
        <v>2017</v>
      </c>
      <c r="D95" s="208" t="str">
        <f t="shared" si="11"/>
        <v>abr</v>
      </c>
      <c r="E95" s="221">
        <v>42856</v>
      </c>
      <c r="F95" s="221">
        <v>42855</v>
      </c>
      <c r="G95" s="220"/>
      <c r="H95" s="219">
        <v>5079711</v>
      </c>
      <c r="I95" s="219">
        <v>2930060</v>
      </c>
      <c r="J95" s="219">
        <v>2149651</v>
      </c>
    </row>
    <row r="96" spans="1:10" x14ac:dyDescent="0.25">
      <c r="A96" s="208" t="str">
        <f t="shared" si="8"/>
        <v>may2017</v>
      </c>
      <c r="B96" s="208" t="str">
        <f t="shared" si="9"/>
        <v>may</v>
      </c>
      <c r="C96" s="208">
        <f t="shared" si="10"/>
        <v>2017</v>
      </c>
      <c r="D96" s="208" t="str">
        <f t="shared" si="11"/>
        <v>may</v>
      </c>
      <c r="E96" s="221">
        <v>42887</v>
      </c>
      <c r="F96" s="221">
        <v>42886</v>
      </c>
      <c r="G96" s="220"/>
      <c r="H96" s="219">
        <v>5044778</v>
      </c>
      <c r="I96" s="219">
        <v>2915362</v>
      </c>
      <c r="J96" s="219">
        <v>2129416</v>
      </c>
    </row>
    <row r="97" spans="1:10" x14ac:dyDescent="0.25">
      <c r="A97" s="208" t="str">
        <f t="shared" si="8"/>
        <v>jun2017</v>
      </c>
      <c r="B97" s="208" t="str">
        <f t="shared" si="9"/>
        <v>jun</v>
      </c>
      <c r="C97" s="208">
        <f t="shared" si="10"/>
        <v>2017</v>
      </c>
      <c r="D97" s="208" t="str">
        <f t="shared" si="11"/>
        <v>jun</v>
      </c>
      <c r="E97" s="221">
        <v>42917</v>
      </c>
      <c r="F97" s="221">
        <v>42916</v>
      </c>
      <c r="G97" s="220"/>
      <c r="H97" s="219">
        <v>5048058</v>
      </c>
      <c r="I97" s="219">
        <v>2919952</v>
      </c>
      <c r="J97" s="219">
        <v>2128106</v>
      </c>
    </row>
    <row r="98" spans="1:10" x14ac:dyDescent="0.25">
      <c r="A98" s="208" t="str">
        <f t="shared" si="8"/>
        <v>jul2017</v>
      </c>
      <c r="B98" s="208" t="str">
        <f t="shared" si="9"/>
        <v>jul</v>
      </c>
      <c r="C98" s="208">
        <f t="shared" si="10"/>
        <v>2017</v>
      </c>
      <c r="D98" s="208" t="str">
        <f t="shared" si="11"/>
        <v>jul</v>
      </c>
      <c r="E98" s="221">
        <v>42948</v>
      </c>
      <c r="F98" s="221">
        <v>42947</v>
      </c>
      <c r="G98" s="220"/>
      <c r="H98" s="219">
        <v>5104795</v>
      </c>
      <c r="I98" s="219">
        <v>2954698</v>
      </c>
      <c r="J98" s="219">
        <v>2150097</v>
      </c>
    </row>
    <row r="99" spans="1:10" x14ac:dyDescent="0.25">
      <c r="A99" s="208" t="str">
        <f t="shared" si="8"/>
        <v>ago2017</v>
      </c>
      <c r="B99" s="208" t="str">
        <f t="shared" si="9"/>
        <v>ago</v>
      </c>
      <c r="C99" s="208">
        <f t="shared" si="10"/>
        <v>2017</v>
      </c>
      <c r="D99" s="208" t="str">
        <f t="shared" si="11"/>
        <v>ago</v>
      </c>
      <c r="E99" s="221">
        <v>42979</v>
      </c>
      <c r="F99" s="221">
        <v>42978</v>
      </c>
      <c r="G99" s="220"/>
      <c r="H99" s="219">
        <v>5087915</v>
      </c>
      <c r="I99" s="219">
        <v>2941228</v>
      </c>
      <c r="J99" s="219">
        <v>2146687</v>
      </c>
    </row>
    <row r="100" spans="1:10" x14ac:dyDescent="0.25">
      <c r="A100" s="208" t="str">
        <f t="shared" si="8"/>
        <v>sept2017</v>
      </c>
      <c r="B100" s="208" t="str">
        <f t="shared" si="9"/>
        <v>sept</v>
      </c>
      <c r="C100" s="208">
        <f t="shared" si="10"/>
        <v>2017</v>
      </c>
      <c r="D100" s="208" t="str">
        <f t="shared" si="11"/>
        <v>sept</v>
      </c>
      <c r="E100" s="221">
        <v>43009</v>
      </c>
      <c r="F100" s="221">
        <v>43008</v>
      </c>
      <c r="G100" s="220"/>
      <c r="H100" s="219">
        <v>5091733</v>
      </c>
      <c r="I100" s="219">
        <v>2942247</v>
      </c>
      <c r="J100" s="219">
        <v>2149486</v>
      </c>
    </row>
    <row r="101" spans="1:10" x14ac:dyDescent="0.25">
      <c r="A101" s="208" t="str">
        <f t="shared" si="8"/>
        <v>oct - dic2017</v>
      </c>
      <c r="B101" s="208" t="str">
        <f t="shared" si="9"/>
        <v>oct - dic</v>
      </c>
      <c r="C101" s="208">
        <f t="shared" si="10"/>
        <v>2017</v>
      </c>
      <c r="D101" s="208" t="str">
        <f t="shared" si="11"/>
        <v>oct</v>
      </c>
      <c r="E101" s="221">
        <v>43040</v>
      </c>
      <c r="F101" s="221">
        <v>43039</v>
      </c>
      <c r="G101" s="220"/>
      <c r="H101" s="219">
        <v>5160139</v>
      </c>
      <c r="I101" s="219">
        <v>2985152</v>
      </c>
      <c r="J101" s="219">
        <v>2174987</v>
      </c>
    </row>
    <row r="102" spans="1:10" x14ac:dyDescent="0.25">
      <c r="A102" s="208" t="str">
        <f t="shared" si="8"/>
        <v>oct - dic2017</v>
      </c>
      <c r="B102" s="208" t="str">
        <f t="shared" si="9"/>
        <v>oct - dic</v>
      </c>
      <c r="C102" s="208">
        <f t="shared" si="10"/>
        <v>2017</v>
      </c>
      <c r="D102" s="208" t="str">
        <f t="shared" si="11"/>
        <v>nov</v>
      </c>
      <c r="E102" s="221">
        <v>43070</v>
      </c>
      <c r="F102" s="221">
        <v>43069</v>
      </c>
      <c r="G102" s="220"/>
      <c r="H102" s="219">
        <v>5254918</v>
      </c>
      <c r="I102" s="219">
        <v>3031312</v>
      </c>
      <c r="J102" s="219">
        <v>2223606</v>
      </c>
    </row>
    <row r="103" spans="1:10" x14ac:dyDescent="0.25">
      <c r="A103" s="208" t="str">
        <f t="shared" si="8"/>
        <v>oct - dic2017</v>
      </c>
      <c r="B103" s="208" t="str">
        <f t="shared" si="9"/>
        <v>oct - dic</v>
      </c>
      <c r="C103" s="208">
        <f t="shared" si="10"/>
        <v>2017</v>
      </c>
      <c r="D103" s="208" t="str">
        <f t="shared" si="11"/>
        <v>dic</v>
      </c>
      <c r="E103" s="221">
        <v>43101</v>
      </c>
      <c r="F103" s="221">
        <v>43100</v>
      </c>
      <c r="G103" s="220"/>
      <c r="H103" s="219">
        <v>5319713</v>
      </c>
      <c r="I103" s="219">
        <v>3056916</v>
      </c>
      <c r="J103" s="219">
        <v>2262797</v>
      </c>
    </row>
    <row r="104" spans="1:10" x14ac:dyDescent="0.25">
      <c r="A104" s="208" t="str">
        <f t="shared" ref="A104:A135" si="12">+B104&amp;C104</f>
        <v>ene2018</v>
      </c>
      <c r="B104" s="208" t="str">
        <f t="shared" ref="B104:B135" si="13">+IF(MONTH(F104)&gt;=10,"oct - dic",D104)</f>
        <v>ene</v>
      </c>
      <c r="C104" s="208">
        <f t="shared" ref="C104:C135" si="14">+YEAR(F104)</f>
        <v>2018</v>
      </c>
      <c r="D104" s="208" t="str">
        <f t="shared" ref="D104:D135" si="15">+TEXT(F104,"mmm")</f>
        <v>ene</v>
      </c>
      <c r="E104" s="221">
        <v>43132</v>
      </c>
      <c r="F104" s="221">
        <v>43131</v>
      </c>
      <c r="G104" s="220"/>
      <c r="H104" s="219">
        <v>5287371</v>
      </c>
      <c r="I104" s="219">
        <v>3050495</v>
      </c>
      <c r="J104" s="219">
        <v>2236876</v>
      </c>
    </row>
    <row r="105" spans="1:10" x14ac:dyDescent="0.25">
      <c r="A105" s="208" t="str">
        <f t="shared" si="12"/>
        <v>feb2018</v>
      </c>
      <c r="B105" s="208" t="str">
        <f t="shared" si="13"/>
        <v>feb</v>
      </c>
      <c r="C105" s="208">
        <f t="shared" si="14"/>
        <v>2018</v>
      </c>
      <c r="D105" s="208" t="str">
        <f t="shared" si="15"/>
        <v>feb</v>
      </c>
      <c r="E105" s="221">
        <v>43160</v>
      </c>
      <c r="F105" s="221">
        <v>43159</v>
      </c>
      <c r="G105" s="220"/>
      <c r="H105" s="219">
        <v>5328742</v>
      </c>
      <c r="I105" s="219">
        <v>3074220</v>
      </c>
      <c r="J105" s="219">
        <v>2254522</v>
      </c>
    </row>
    <row r="106" spans="1:10" x14ac:dyDescent="0.25">
      <c r="A106" s="208" t="str">
        <f t="shared" si="12"/>
        <v>mar2018</v>
      </c>
      <c r="B106" s="208" t="str">
        <f t="shared" si="13"/>
        <v>mar</v>
      </c>
      <c r="C106" s="208">
        <f t="shared" si="14"/>
        <v>2018</v>
      </c>
      <c r="D106" s="208" t="str">
        <f t="shared" si="15"/>
        <v>mar</v>
      </c>
      <c r="E106" s="221">
        <v>43191</v>
      </c>
      <c r="F106" s="221">
        <v>43190</v>
      </c>
      <c r="G106" s="220"/>
      <c r="H106" s="219">
        <v>5334490</v>
      </c>
      <c r="I106" s="219">
        <v>3077595</v>
      </c>
      <c r="J106" s="219">
        <v>2256895</v>
      </c>
    </row>
    <row r="107" spans="1:10" x14ac:dyDescent="0.25">
      <c r="A107" s="208" t="str">
        <f t="shared" si="12"/>
        <v>abr2018</v>
      </c>
      <c r="B107" s="208" t="str">
        <f t="shared" si="13"/>
        <v>abr</v>
      </c>
      <c r="C107" s="208">
        <f t="shared" si="14"/>
        <v>2018</v>
      </c>
      <c r="D107" s="208" t="str">
        <f t="shared" si="15"/>
        <v>abr</v>
      </c>
      <c r="E107" s="221">
        <v>43221</v>
      </c>
      <c r="F107" s="221">
        <v>43220</v>
      </c>
      <c r="G107" s="220"/>
      <c r="H107" s="219">
        <v>5289791</v>
      </c>
      <c r="I107" s="219">
        <v>3043697</v>
      </c>
      <c r="J107" s="219">
        <v>2246094</v>
      </c>
    </row>
    <row r="108" spans="1:10" x14ac:dyDescent="0.25">
      <c r="A108" s="208" t="str">
        <f t="shared" si="12"/>
        <v>may2018</v>
      </c>
      <c r="B108" s="208" t="str">
        <f t="shared" si="13"/>
        <v>may</v>
      </c>
      <c r="C108" s="208">
        <f t="shared" si="14"/>
        <v>2018</v>
      </c>
      <c r="D108" s="208" t="str">
        <f t="shared" si="15"/>
        <v>may</v>
      </c>
      <c r="E108" s="221">
        <v>43252</v>
      </c>
      <c r="F108" s="221">
        <v>43251</v>
      </c>
      <c r="G108" s="220"/>
      <c r="H108" s="219">
        <v>5208251</v>
      </c>
      <c r="I108" s="219">
        <v>3006449</v>
      </c>
      <c r="J108" s="219">
        <v>2201802</v>
      </c>
    </row>
    <row r="109" spans="1:10" x14ac:dyDescent="0.25">
      <c r="A109" s="208" t="str">
        <f t="shared" si="12"/>
        <v>jun2018</v>
      </c>
      <c r="B109" s="208" t="str">
        <f t="shared" si="13"/>
        <v>jun</v>
      </c>
      <c r="C109" s="208">
        <f t="shared" si="14"/>
        <v>2018</v>
      </c>
      <c r="D109" s="208" t="str">
        <f t="shared" si="15"/>
        <v>jun</v>
      </c>
      <c r="E109" s="221">
        <v>43282</v>
      </c>
      <c r="F109" s="221">
        <v>43281</v>
      </c>
      <c r="G109" s="220"/>
      <c r="H109" s="219">
        <v>5238448</v>
      </c>
      <c r="I109" s="219">
        <v>3024332</v>
      </c>
      <c r="J109" s="219">
        <v>2214116</v>
      </c>
    </row>
    <row r="110" spans="1:10" x14ac:dyDescent="0.25">
      <c r="A110" s="208" t="str">
        <f t="shared" si="12"/>
        <v>jul2018</v>
      </c>
      <c r="B110" s="208" t="str">
        <f t="shared" si="13"/>
        <v>jul</v>
      </c>
      <c r="C110" s="208">
        <f t="shared" si="14"/>
        <v>2018</v>
      </c>
      <c r="D110" s="208" t="str">
        <f t="shared" si="15"/>
        <v>jul</v>
      </c>
      <c r="E110" s="221">
        <v>43313</v>
      </c>
      <c r="F110" s="221">
        <v>43312</v>
      </c>
      <c r="G110" s="220"/>
      <c r="H110" s="219">
        <v>5263614</v>
      </c>
      <c r="I110" s="219">
        <v>3038346</v>
      </c>
      <c r="J110" s="219">
        <v>2225268</v>
      </c>
    </row>
    <row r="111" spans="1:10" x14ac:dyDescent="0.25">
      <c r="A111" s="208" t="str">
        <f t="shared" si="12"/>
        <v>ago2018</v>
      </c>
      <c r="B111" s="208" t="str">
        <f t="shared" si="13"/>
        <v>ago</v>
      </c>
      <c r="C111" s="208">
        <f t="shared" si="14"/>
        <v>2018</v>
      </c>
      <c r="D111" s="208" t="str">
        <f t="shared" si="15"/>
        <v>ago</v>
      </c>
      <c r="E111" s="221">
        <v>43344</v>
      </c>
      <c r="F111" s="221">
        <v>43343</v>
      </c>
      <c r="G111" s="220"/>
      <c r="H111" s="219">
        <v>5240149</v>
      </c>
      <c r="I111" s="219">
        <v>3027896</v>
      </c>
      <c r="J111" s="219">
        <v>2212253</v>
      </c>
    </row>
    <row r="112" spans="1:10" x14ac:dyDescent="0.25">
      <c r="A112" s="208" t="str">
        <f t="shared" si="12"/>
        <v>sept2018</v>
      </c>
      <c r="B112" s="208" t="str">
        <f t="shared" si="13"/>
        <v>sept</v>
      </c>
      <c r="C112" s="208">
        <f t="shared" si="14"/>
        <v>2018</v>
      </c>
      <c r="D112" s="208" t="str">
        <f t="shared" si="15"/>
        <v>sept</v>
      </c>
      <c r="E112" s="221">
        <v>43374</v>
      </c>
      <c r="F112" s="221">
        <v>43373</v>
      </c>
      <c r="G112" s="220"/>
      <c r="H112" s="219">
        <v>5257671</v>
      </c>
      <c r="I112" s="219">
        <v>3031748</v>
      </c>
      <c r="J112" s="219">
        <v>2225923</v>
      </c>
    </row>
    <row r="113" spans="1:10" x14ac:dyDescent="0.25">
      <c r="A113" s="208" t="str">
        <f t="shared" si="12"/>
        <v>oct - dic2018</v>
      </c>
      <c r="B113" s="208" t="str">
        <f t="shared" si="13"/>
        <v>oct - dic</v>
      </c>
      <c r="C113" s="208">
        <f t="shared" si="14"/>
        <v>2018</v>
      </c>
      <c r="D113" s="208" t="str">
        <f t="shared" si="15"/>
        <v>oct</v>
      </c>
      <c r="E113" s="221">
        <v>43405</v>
      </c>
      <c r="F113" s="221">
        <v>43404</v>
      </c>
      <c r="G113" s="220"/>
      <c r="H113" s="219">
        <v>5336720</v>
      </c>
      <c r="I113" s="219">
        <v>3088750</v>
      </c>
      <c r="J113" s="219">
        <v>2247970</v>
      </c>
    </row>
    <row r="114" spans="1:10" x14ac:dyDescent="0.25">
      <c r="A114" s="208" t="str">
        <f t="shared" si="12"/>
        <v>oct - dic2018</v>
      </c>
      <c r="B114" s="208" t="str">
        <f t="shared" si="13"/>
        <v>oct - dic</v>
      </c>
      <c r="C114" s="208">
        <f t="shared" si="14"/>
        <v>2018</v>
      </c>
      <c r="D114" s="208" t="str">
        <f t="shared" si="15"/>
        <v>nov</v>
      </c>
      <c r="E114" s="221">
        <v>43435</v>
      </c>
      <c r="F114" s="221">
        <v>43405</v>
      </c>
      <c r="G114" s="220"/>
      <c r="H114" s="219">
        <v>5428534</v>
      </c>
      <c r="I114" s="219">
        <v>3129490</v>
      </c>
      <c r="J114" s="219">
        <v>2299044</v>
      </c>
    </row>
    <row r="115" spans="1:10" x14ac:dyDescent="0.25">
      <c r="A115" s="208" t="str">
        <f t="shared" si="12"/>
        <v>oct - dic2018</v>
      </c>
      <c r="B115" s="208" t="str">
        <f t="shared" si="13"/>
        <v>oct - dic</v>
      </c>
      <c r="C115" s="208">
        <f t="shared" si="14"/>
        <v>2018</v>
      </c>
      <c r="D115" s="208" t="str">
        <f t="shared" si="15"/>
        <v>dic</v>
      </c>
      <c r="E115" s="221">
        <v>43466</v>
      </c>
      <c r="F115" s="221">
        <v>43435</v>
      </c>
      <c r="G115" s="220"/>
      <c r="H115" s="223">
        <v>5521265</v>
      </c>
      <c r="I115" s="223">
        <v>3165896</v>
      </c>
      <c r="J115" s="223">
        <v>2355369</v>
      </c>
    </row>
    <row r="116" spans="1:10" x14ac:dyDescent="0.25">
      <c r="A116" s="208" t="str">
        <f t="shared" si="12"/>
        <v>ene2019</v>
      </c>
      <c r="B116" s="208" t="str">
        <f t="shared" si="13"/>
        <v>ene</v>
      </c>
      <c r="C116" s="208">
        <f t="shared" si="14"/>
        <v>2019</v>
      </c>
      <c r="D116" s="208" t="str">
        <f t="shared" si="15"/>
        <v>ene</v>
      </c>
      <c r="E116" s="221">
        <v>43497</v>
      </c>
      <c r="F116" s="221">
        <v>43466</v>
      </c>
      <c r="G116" s="220"/>
      <c r="H116" s="219">
        <v>5451727</v>
      </c>
      <c r="I116" s="219">
        <v>3144541</v>
      </c>
      <c r="J116" s="219">
        <v>2307186</v>
      </c>
    </row>
    <row r="117" spans="1:10" x14ac:dyDescent="0.25">
      <c r="A117" s="208" t="str">
        <f t="shared" si="12"/>
        <v>feb2019</v>
      </c>
      <c r="B117" s="208" t="str">
        <f t="shared" si="13"/>
        <v>feb</v>
      </c>
      <c r="C117" s="208">
        <f t="shared" si="14"/>
        <v>2019</v>
      </c>
      <c r="D117" s="208" t="str">
        <f t="shared" si="15"/>
        <v>feb</v>
      </c>
      <c r="E117" s="221">
        <v>43525</v>
      </c>
      <c r="F117" s="221">
        <v>43497</v>
      </c>
      <c r="G117" s="220"/>
      <c r="H117" s="219">
        <v>5486090</v>
      </c>
      <c r="I117" s="219">
        <v>3165337</v>
      </c>
      <c r="J117" s="219">
        <v>2320753</v>
      </c>
    </row>
    <row r="118" spans="1:10" x14ac:dyDescent="0.25">
      <c r="A118" s="208" t="str">
        <f t="shared" si="12"/>
        <v>mar2019</v>
      </c>
      <c r="B118" s="208" t="str">
        <f t="shared" si="13"/>
        <v>mar</v>
      </c>
      <c r="C118" s="208">
        <f t="shared" si="14"/>
        <v>2019</v>
      </c>
      <c r="D118" s="208" t="str">
        <f t="shared" si="15"/>
        <v>mar</v>
      </c>
      <c r="E118" s="221">
        <v>43556</v>
      </c>
      <c r="F118" s="221">
        <v>43525</v>
      </c>
      <c r="G118" s="220"/>
      <c r="H118" s="219">
        <v>5465393</v>
      </c>
      <c r="I118" s="219">
        <v>3154427</v>
      </c>
      <c r="J118" s="219">
        <v>2310966</v>
      </c>
    </row>
    <row r="119" spans="1:10" x14ac:dyDescent="0.25">
      <c r="A119" s="208" t="str">
        <f t="shared" si="12"/>
        <v>abr2019</v>
      </c>
      <c r="B119" s="208" t="str">
        <f t="shared" si="13"/>
        <v>abr</v>
      </c>
      <c r="C119" s="208">
        <f t="shared" si="14"/>
        <v>2019</v>
      </c>
      <c r="D119" s="208" t="str">
        <f t="shared" si="15"/>
        <v>abr</v>
      </c>
      <c r="E119" s="221">
        <v>43586</v>
      </c>
      <c r="F119" s="221">
        <v>43556</v>
      </c>
      <c r="G119" s="220"/>
      <c r="H119" s="223">
        <v>5438449</v>
      </c>
      <c r="I119" s="223">
        <v>3134968</v>
      </c>
      <c r="J119" s="223">
        <v>2303481</v>
      </c>
    </row>
    <row r="120" spans="1:10" x14ac:dyDescent="0.25">
      <c r="A120" s="208" t="str">
        <f t="shared" si="12"/>
        <v>may2019</v>
      </c>
      <c r="B120" s="208" t="str">
        <f t="shared" si="13"/>
        <v>may</v>
      </c>
      <c r="C120" s="208">
        <f t="shared" si="14"/>
        <v>2019</v>
      </c>
      <c r="D120" s="208" t="str">
        <f t="shared" si="15"/>
        <v>may</v>
      </c>
      <c r="E120" s="221">
        <v>43617</v>
      </c>
      <c r="F120" s="221">
        <v>43586</v>
      </c>
      <c r="G120" s="220"/>
      <c r="H120" s="223">
        <v>5355238</v>
      </c>
      <c r="I120" s="223">
        <v>3089678</v>
      </c>
      <c r="J120" s="223">
        <v>2265560</v>
      </c>
    </row>
    <row r="121" spans="1:10" x14ac:dyDescent="0.25">
      <c r="A121" s="208" t="str">
        <f t="shared" si="12"/>
        <v>jun2019</v>
      </c>
      <c r="B121" s="208" t="str">
        <f t="shared" si="13"/>
        <v>jun</v>
      </c>
      <c r="C121" s="208">
        <f t="shared" si="14"/>
        <v>2019</v>
      </c>
      <c r="D121" s="208" t="str">
        <f t="shared" si="15"/>
        <v>jun</v>
      </c>
      <c r="E121" s="221">
        <v>43647</v>
      </c>
      <c r="F121" s="221">
        <v>43617</v>
      </c>
      <c r="G121" s="220"/>
      <c r="H121" s="223">
        <v>5397214</v>
      </c>
      <c r="I121" s="223">
        <v>3113120</v>
      </c>
      <c r="J121" s="223">
        <v>2284094</v>
      </c>
    </row>
    <row r="122" spans="1:10" x14ac:dyDescent="0.25">
      <c r="A122" s="208" t="str">
        <f t="shared" si="12"/>
        <v>jul2019</v>
      </c>
      <c r="B122" s="208" t="str">
        <f t="shared" si="13"/>
        <v>jul</v>
      </c>
      <c r="C122" s="208">
        <f t="shared" si="14"/>
        <v>2019</v>
      </c>
      <c r="D122" s="208" t="str">
        <f t="shared" si="15"/>
        <v>jul</v>
      </c>
      <c r="E122" s="221">
        <v>43678</v>
      </c>
      <c r="F122" s="221">
        <v>43647</v>
      </c>
      <c r="G122" s="220"/>
      <c r="H122" s="223">
        <v>5449761</v>
      </c>
      <c r="I122" s="223">
        <v>3145276</v>
      </c>
      <c r="J122" s="223">
        <v>2304485</v>
      </c>
    </row>
    <row r="123" spans="1:10" x14ac:dyDescent="0.25">
      <c r="A123" s="208" t="str">
        <f t="shared" si="12"/>
        <v>ago2019</v>
      </c>
      <c r="B123" s="208" t="str">
        <f t="shared" si="13"/>
        <v>ago</v>
      </c>
      <c r="C123" s="208">
        <f t="shared" si="14"/>
        <v>2019</v>
      </c>
      <c r="D123" s="208" t="str">
        <f t="shared" si="15"/>
        <v>ago</v>
      </c>
      <c r="E123" s="221">
        <v>43709</v>
      </c>
      <c r="F123" s="221">
        <v>43678</v>
      </c>
      <c r="G123" s="220"/>
      <c r="H123" s="223">
        <v>5443478</v>
      </c>
      <c r="I123" s="223">
        <v>3140512</v>
      </c>
      <c r="J123" s="223">
        <v>2302966</v>
      </c>
    </row>
    <row r="124" spans="1:10" x14ac:dyDescent="0.25">
      <c r="A124" s="208" t="str">
        <f t="shared" si="12"/>
        <v>sept2019</v>
      </c>
      <c r="B124" s="208" t="str">
        <f t="shared" si="13"/>
        <v>sept</v>
      </c>
      <c r="C124" s="208">
        <f t="shared" si="14"/>
        <v>2019</v>
      </c>
      <c r="D124" s="208" t="str">
        <f t="shared" si="15"/>
        <v>sept</v>
      </c>
      <c r="E124" s="221">
        <v>43739</v>
      </c>
      <c r="F124" s="221">
        <v>43709</v>
      </c>
      <c r="G124" s="220"/>
      <c r="H124" s="222">
        <v>5411920</v>
      </c>
      <c r="I124" s="222">
        <v>3117529</v>
      </c>
      <c r="J124" s="222">
        <v>2294391</v>
      </c>
    </row>
    <row r="125" spans="1:10" x14ac:dyDescent="0.25">
      <c r="A125" s="208" t="str">
        <f t="shared" si="12"/>
        <v>oct - dic2019</v>
      </c>
      <c r="B125" s="208" t="str">
        <f t="shared" si="13"/>
        <v>oct - dic</v>
      </c>
      <c r="C125" s="208">
        <f t="shared" si="14"/>
        <v>2019</v>
      </c>
      <c r="D125" s="208" t="str">
        <f t="shared" si="15"/>
        <v>oct</v>
      </c>
      <c r="E125" s="221">
        <v>43770</v>
      </c>
      <c r="F125" s="221">
        <v>43739</v>
      </c>
      <c r="G125" s="220"/>
      <c r="H125" s="222">
        <v>5455756</v>
      </c>
      <c r="I125" s="222">
        <v>3147402</v>
      </c>
      <c r="J125" s="222">
        <v>2308354</v>
      </c>
    </row>
    <row r="126" spans="1:10" x14ac:dyDescent="0.25">
      <c r="A126" s="208" t="str">
        <f t="shared" si="12"/>
        <v>oct - dic2019</v>
      </c>
      <c r="B126" s="208" t="str">
        <f t="shared" si="13"/>
        <v>oct - dic</v>
      </c>
      <c r="C126" s="208">
        <f t="shared" si="14"/>
        <v>2019</v>
      </c>
      <c r="D126" s="208" t="str">
        <f t="shared" si="15"/>
        <v>nov</v>
      </c>
      <c r="E126" s="221">
        <v>43800</v>
      </c>
      <c r="F126" s="221">
        <v>43770</v>
      </c>
      <c r="G126" s="220"/>
      <c r="H126" s="222">
        <v>5532353</v>
      </c>
      <c r="I126" s="222">
        <v>3182552</v>
      </c>
      <c r="J126" s="222">
        <v>2349801</v>
      </c>
    </row>
    <row r="127" spans="1:10" x14ac:dyDescent="0.25">
      <c r="A127" s="208" t="str">
        <f t="shared" si="12"/>
        <v>oct - dic2019</v>
      </c>
      <c r="B127" s="208" t="str">
        <f t="shared" si="13"/>
        <v>oct - dic</v>
      </c>
      <c r="C127" s="208">
        <f t="shared" si="14"/>
        <v>2019</v>
      </c>
      <c r="D127" s="208" t="str">
        <f t="shared" si="15"/>
        <v>dic</v>
      </c>
      <c r="E127" s="221">
        <v>43831</v>
      </c>
      <c r="F127" s="221">
        <v>43800</v>
      </c>
      <c r="G127" s="220"/>
      <c r="H127" s="222">
        <v>5626747</v>
      </c>
      <c r="I127" s="222">
        <v>3221564</v>
      </c>
      <c r="J127" s="222">
        <v>2405183</v>
      </c>
    </row>
    <row r="128" spans="1:10" x14ac:dyDescent="0.25">
      <c r="A128" s="208" t="str">
        <f t="shared" si="12"/>
        <v>ene2020</v>
      </c>
      <c r="B128" s="208" t="str">
        <f t="shared" si="13"/>
        <v>ene</v>
      </c>
      <c r="C128" s="208">
        <f t="shared" si="14"/>
        <v>2020</v>
      </c>
      <c r="D128" s="208" t="str">
        <f t="shared" si="15"/>
        <v>ene</v>
      </c>
      <c r="E128" s="221">
        <v>43862</v>
      </c>
      <c r="F128" s="221">
        <v>43831</v>
      </c>
      <c r="G128" s="220"/>
      <c r="H128" s="222">
        <v>5502144</v>
      </c>
      <c r="I128" s="222">
        <v>3165475</v>
      </c>
      <c r="J128" s="222">
        <v>2336669</v>
      </c>
    </row>
    <row r="129" spans="1:10" x14ac:dyDescent="0.25">
      <c r="A129" s="208" t="str">
        <f t="shared" si="12"/>
        <v>feb2020</v>
      </c>
      <c r="B129" s="208" t="str">
        <f t="shared" si="13"/>
        <v>feb</v>
      </c>
      <c r="C129" s="208">
        <f t="shared" si="14"/>
        <v>2020</v>
      </c>
      <c r="D129" s="208" t="str">
        <f t="shared" si="15"/>
        <v>feb</v>
      </c>
      <c r="E129" s="221">
        <v>43891</v>
      </c>
      <c r="F129" s="221">
        <v>43862</v>
      </c>
      <c r="G129" s="220"/>
      <c r="H129" s="222">
        <v>5524871</v>
      </c>
      <c r="I129" s="222">
        <v>3181531</v>
      </c>
      <c r="J129" s="222">
        <v>2343340</v>
      </c>
    </row>
    <row r="130" spans="1:10" x14ac:dyDescent="0.25">
      <c r="A130" s="208" t="str">
        <f t="shared" si="12"/>
        <v>mar2020</v>
      </c>
      <c r="B130" s="208" t="str">
        <f t="shared" si="13"/>
        <v>mar</v>
      </c>
      <c r="C130" s="208">
        <f t="shared" si="14"/>
        <v>2020</v>
      </c>
      <c r="D130" s="208" t="str">
        <f t="shared" si="15"/>
        <v>mar</v>
      </c>
      <c r="E130" s="221">
        <v>43922</v>
      </c>
      <c r="F130" s="221">
        <v>43891</v>
      </c>
      <c r="G130" s="220"/>
      <c r="H130" s="222">
        <v>5447164</v>
      </c>
      <c r="I130" s="222">
        <v>3136415</v>
      </c>
      <c r="J130" s="222">
        <v>2310749</v>
      </c>
    </row>
    <row r="131" spans="1:10" x14ac:dyDescent="0.25">
      <c r="A131" s="208" t="str">
        <f t="shared" si="12"/>
        <v>abr2020</v>
      </c>
      <c r="B131" s="208" t="str">
        <f t="shared" si="13"/>
        <v>abr</v>
      </c>
      <c r="C131" s="208">
        <f t="shared" si="14"/>
        <v>2020</v>
      </c>
      <c r="D131" s="208" t="str">
        <f t="shared" si="15"/>
        <v>abr</v>
      </c>
      <c r="E131" s="221">
        <v>43952</v>
      </c>
      <c r="F131" s="221">
        <v>43922</v>
      </c>
      <c r="G131" s="220"/>
      <c r="H131" s="219">
        <v>5184457</v>
      </c>
      <c r="I131" s="219">
        <v>2977460</v>
      </c>
      <c r="J131" s="219">
        <v>2206997</v>
      </c>
    </row>
    <row r="132" spans="1:10" x14ac:dyDescent="0.25">
      <c r="A132" s="208" t="str">
        <f t="shared" si="12"/>
        <v>may2020</v>
      </c>
      <c r="B132" s="208" t="str">
        <f t="shared" si="13"/>
        <v>may</v>
      </c>
      <c r="C132" s="208">
        <f t="shared" si="14"/>
        <v>2020</v>
      </c>
      <c r="D132" s="208" t="str">
        <f t="shared" si="15"/>
        <v>may</v>
      </c>
      <c r="E132" s="221">
        <v>43983</v>
      </c>
      <c r="F132" s="221">
        <v>43952</v>
      </c>
      <c r="G132" s="220"/>
      <c r="H132" s="219">
        <v>5061590</v>
      </c>
      <c r="I132" s="219">
        <v>2909946</v>
      </c>
      <c r="J132" s="219">
        <v>2151644</v>
      </c>
    </row>
    <row r="133" spans="1:10" x14ac:dyDescent="0.25">
      <c r="A133" s="208" t="str">
        <f t="shared" si="12"/>
        <v>jun2020</v>
      </c>
      <c r="B133" s="208" t="str">
        <f t="shared" si="13"/>
        <v>jun</v>
      </c>
      <c r="C133" s="208">
        <f t="shared" si="14"/>
        <v>2020</v>
      </c>
      <c r="D133" s="208" t="str">
        <f t="shared" si="15"/>
        <v>jun</v>
      </c>
      <c r="E133" s="221">
        <v>44013</v>
      </c>
      <c r="F133" s="221">
        <v>43983</v>
      </c>
      <c r="G133" s="220"/>
      <c r="H133" s="219">
        <v>5080059</v>
      </c>
      <c r="I133" s="219">
        <v>2916796</v>
      </c>
      <c r="J133" s="219">
        <v>2163263</v>
      </c>
    </row>
    <row r="134" spans="1:10" x14ac:dyDescent="0.25">
      <c r="A134" s="208" t="str">
        <f t="shared" si="12"/>
        <v>jul2020</v>
      </c>
      <c r="B134" s="208" t="str">
        <f t="shared" si="13"/>
        <v>jul</v>
      </c>
      <c r="C134" s="208">
        <f t="shared" si="14"/>
        <v>2020</v>
      </c>
      <c r="D134" s="208" t="str">
        <f t="shared" si="15"/>
        <v>jul</v>
      </c>
      <c r="E134" s="221">
        <v>44044</v>
      </c>
      <c r="F134" s="221">
        <v>44013</v>
      </c>
      <c r="G134" s="220"/>
      <c r="H134" s="219">
        <v>5084164</v>
      </c>
      <c r="I134" s="219">
        <v>2926917</v>
      </c>
      <c r="J134" s="219">
        <v>2157247</v>
      </c>
    </row>
    <row r="135" spans="1:10" x14ac:dyDescent="0.25">
      <c r="A135" s="208" t="str">
        <f t="shared" si="12"/>
        <v>ago2020</v>
      </c>
      <c r="B135" s="208" t="str">
        <f t="shared" si="13"/>
        <v>ago</v>
      </c>
      <c r="C135" s="208">
        <f t="shared" si="14"/>
        <v>2020</v>
      </c>
      <c r="D135" s="208" t="str">
        <f t="shared" si="15"/>
        <v>ago</v>
      </c>
      <c r="E135" s="221">
        <v>44075</v>
      </c>
      <c r="F135" s="221">
        <v>44044</v>
      </c>
      <c r="G135" s="220"/>
      <c r="H135" s="219">
        <v>5107712</v>
      </c>
      <c r="I135" s="219">
        <v>2946511</v>
      </c>
      <c r="J135" s="219">
        <v>2161201</v>
      </c>
    </row>
    <row r="136" spans="1:10" x14ac:dyDescent="0.25">
      <c r="A136" s="208" t="str">
        <f t="shared" ref="A136:A167" si="16">+B136&amp;C136</f>
        <v>sept2020</v>
      </c>
      <c r="B136" s="208" t="str">
        <f t="shared" ref="B136:B167" si="17">+IF(MONTH(F136)&gt;=10,"oct - dic",D136)</f>
        <v>sept</v>
      </c>
      <c r="C136" s="208">
        <f t="shared" ref="C136:C167" si="18">+YEAR(F136)</f>
        <v>2020</v>
      </c>
      <c r="D136" s="208" t="str">
        <f t="shared" ref="D136:D167" si="19">+TEXT(F136,"mmm")</f>
        <v>sept</v>
      </c>
      <c r="E136" s="221">
        <v>44105</v>
      </c>
      <c r="F136" s="221">
        <v>44075</v>
      </c>
      <c r="G136" s="220"/>
      <c r="H136" s="219">
        <v>5139993</v>
      </c>
      <c r="I136" s="219">
        <v>2969051</v>
      </c>
      <c r="J136" s="219">
        <v>2170942</v>
      </c>
    </row>
    <row r="137" spans="1:10" x14ac:dyDescent="0.25">
      <c r="A137" s="208" t="str">
        <f t="shared" si="16"/>
        <v>oct - dic2020</v>
      </c>
      <c r="B137" s="208" t="str">
        <f t="shared" si="17"/>
        <v>oct - dic</v>
      </c>
      <c r="C137" s="208">
        <f t="shared" si="18"/>
        <v>2020</v>
      </c>
      <c r="D137" s="208" t="str">
        <f t="shared" si="19"/>
        <v>oct</v>
      </c>
      <c r="E137" s="221">
        <v>44136</v>
      </c>
      <c r="F137" s="221">
        <v>44105</v>
      </c>
      <c r="G137" s="220"/>
      <c r="H137" s="219">
        <v>5258126</v>
      </c>
      <c r="I137" s="219">
        <v>3055173</v>
      </c>
      <c r="J137" s="219">
        <v>2202953</v>
      </c>
    </row>
    <row r="138" spans="1:10" x14ac:dyDescent="0.25">
      <c r="A138" s="208" t="str">
        <f t="shared" si="16"/>
        <v>oct - dic2020</v>
      </c>
      <c r="B138" s="208" t="str">
        <f t="shared" si="17"/>
        <v>oct - dic</v>
      </c>
      <c r="C138" s="208">
        <f t="shared" si="18"/>
        <v>2020</v>
      </c>
      <c r="D138" s="208" t="str">
        <f t="shared" si="19"/>
        <v>nov</v>
      </c>
      <c r="E138" s="221">
        <v>44166</v>
      </c>
      <c r="F138" s="221">
        <v>44136</v>
      </c>
      <c r="G138" s="220"/>
      <c r="H138" s="219">
        <v>5430737</v>
      </c>
      <c r="I138" s="219">
        <v>3141512</v>
      </c>
      <c r="J138" s="219">
        <v>2289225</v>
      </c>
    </row>
    <row r="139" spans="1:10" x14ac:dyDescent="0.25">
      <c r="A139" s="208" t="str">
        <f t="shared" si="16"/>
        <v>oct - dic2020</v>
      </c>
      <c r="B139" s="208" t="str">
        <f t="shared" si="17"/>
        <v>oct - dic</v>
      </c>
      <c r="C139" s="208">
        <f t="shared" si="18"/>
        <v>2020</v>
      </c>
      <c r="D139" s="208" t="str">
        <f t="shared" si="19"/>
        <v>dic</v>
      </c>
      <c r="E139" s="221">
        <v>44197</v>
      </c>
      <c r="F139" s="221">
        <v>44166</v>
      </c>
      <c r="G139" s="220"/>
      <c r="H139" s="219">
        <v>5501912</v>
      </c>
      <c r="I139" s="219">
        <v>3169768</v>
      </c>
      <c r="J139" s="219">
        <v>2332144</v>
      </c>
    </row>
    <row r="140" spans="1:10" x14ac:dyDescent="0.25">
      <c r="A140" s="208" t="str">
        <f t="shared" si="16"/>
        <v>ene2021</v>
      </c>
      <c r="B140" s="208" t="str">
        <f t="shared" si="17"/>
        <v>ene</v>
      </c>
      <c r="C140" s="208">
        <f t="shared" si="18"/>
        <v>2021</v>
      </c>
      <c r="D140" s="208" t="str">
        <f t="shared" si="19"/>
        <v>ene</v>
      </c>
      <c r="E140" s="221">
        <v>44228</v>
      </c>
      <c r="F140" s="221">
        <v>44197</v>
      </c>
      <c r="G140" s="220"/>
      <c r="H140" s="219">
        <v>5474426</v>
      </c>
      <c r="I140" s="219">
        <v>3160417</v>
      </c>
      <c r="J140" s="219">
        <v>2314009</v>
      </c>
    </row>
    <row r="141" spans="1:10" x14ac:dyDescent="0.25">
      <c r="A141" s="208" t="str">
        <f t="shared" si="16"/>
        <v>feb2021</v>
      </c>
      <c r="B141" s="208" t="str">
        <f t="shared" si="17"/>
        <v>feb</v>
      </c>
      <c r="C141" s="208">
        <f t="shared" si="18"/>
        <v>2021</v>
      </c>
      <c r="D141" s="208" t="str">
        <f t="shared" si="19"/>
        <v>feb</v>
      </c>
      <c r="E141" s="221">
        <v>44256</v>
      </c>
      <c r="F141" s="221">
        <v>44228</v>
      </c>
      <c r="G141" s="220"/>
      <c r="H141" s="219">
        <v>5532027</v>
      </c>
      <c r="I141" s="219">
        <v>3192900</v>
      </c>
      <c r="J141" s="219">
        <v>2339127</v>
      </c>
    </row>
    <row r="142" spans="1:10" x14ac:dyDescent="0.25">
      <c r="A142" s="208" t="str">
        <f t="shared" si="16"/>
        <v>mar2021</v>
      </c>
      <c r="B142" s="208" t="str">
        <f t="shared" si="17"/>
        <v>mar</v>
      </c>
      <c r="C142" s="208">
        <f t="shared" si="18"/>
        <v>2021</v>
      </c>
      <c r="D142" s="208" t="str">
        <f t="shared" si="19"/>
        <v>mar</v>
      </c>
      <c r="E142" s="221">
        <v>44287</v>
      </c>
      <c r="F142" s="221">
        <v>44256</v>
      </c>
      <c r="G142" s="220" t="s">
        <v>471</v>
      </c>
      <c r="H142" s="219">
        <v>5546039</v>
      </c>
      <c r="I142" s="219">
        <v>3211473</v>
      </c>
      <c r="J142" s="219">
        <v>2334563</v>
      </c>
    </row>
    <row r="143" spans="1:10" x14ac:dyDescent="0.25">
      <c r="A143" s="208" t="str">
        <f t="shared" si="16"/>
        <v>abr2021</v>
      </c>
      <c r="B143" s="208" t="str">
        <f t="shared" si="17"/>
        <v>abr</v>
      </c>
      <c r="C143" s="208">
        <f t="shared" si="18"/>
        <v>2021</v>
      </c>
      <c r="D143" s="208" t="str">
        <f t="shared" si="19"/>
        <v>abr</v>
      </c>
      <c r="E143" s="221">
        <v>44317</v>
      </c>
      <c r="F143" s="221">
        <v>44287</v>
      </c>
      <c r="G143" s="220" t="s">
        <v>471</v>
      </c>
      <c r="H143" s="219">
        <v>5529785</v>
      </c>
      <c r="I143" s="219">
        <v>3209153</v>
      </c>
      <c r="J143" s="219">
        <v>2320630</v>
      </c>
    </row>
    <row r="144" spans="1:10" x14ac:dyDescent="0.25">
      <c r="A144" s="208" t="str">
        <f t="shared" si="16"/>
        <v>may2021</v>
      </c>
      <c r="B144" s="208" t="str">
        <f t="shared" si="17"/>
        <v>may</v>
      </c>
      <c r="C144" s="208">
        <f t="shared" si="18"/>
        <v>2021</v>
      </c>
      <c r="D144" s="208" t="str">
        <f t="shared" si="19"/>
        <v>may</v>
      </c>
      <c r="E144" s="221">
        <v>44348</v>
      </c>
      <c r="F144" s="221">
        <v>44317</v>
      </c>
      <c r="G144" s="220"/>
      <c r="H144" s="219">
        <v>5471945</v>
      </c>
      <c r="I144" s="219">
        <v>3171457</v>
      </c>
      <c r="J144" s="219">
        <v>2300488</v>
      </c>
    </row>
    <row r="145" spans="1:10" x14ac:dyDescent="0.25">
      <c r="A145" s="208" t="str">
        <f t="shared" si="16"/>
        <v>jun2021</v>
      </c>
      <c r="B145" s="208" t="str">
        <f t="shared" si="17"/>
        <v>jun</v>
      </c>
      <c r="C145" s="208">
        <f t="shared" si="18"/>
        <v>2021</v>
      </c>
      <c r="D145" s="208" t="str">
        <f t="shared" si="19"/>
        <v>jun</v>
      </c>
      <c r="E145" s="221">
        <v>44378</v>
      </c>
      <c r="F145" s="221">
        <v>44348</v>
      </c>
      <c r="G145" s="220"/>
      <c r="H145" s="219">
        <v>5503971</v>
      </c>
      <c r="I145" s="219">
        <v>3182755</v>
      </c>
      <c r="J145" s="219">
        <v>2321216</v>
      </c>
    </row>
    <row r="146" spans="1:10" x14ac:dyDescent="0.25">
      <c r="A146" s="208" t="str">
        <f t="shared" si="16"/>
        <v>jul2021</v>
      </c>
      <c r="B146" s="208" t="str">
        <f t="shared" si="17"/>
        <v>jul</v>
      </c>
      <c r="C146" s="208">
        <f t="shared" si="18"/>
        <v>2021</v>
      </c>
      <c r="D146" s="208" t="str">
        <f t="shared" si="19"/>
        <v>jul</v>
      </c>
      <c r="E146" s="221">
        <v>44409</v>
      </c>
      <c r="F146" s="221">
        <v>44378</v>
      </c>
      <c r="G146" s="220"/>
      <c r="H146" s="219">
        <v>5546741</v>
      </c>
      <c r="I146" s="219">
        <v>3206040</v>
      </c>
      <c r="J146" s="219">
        <v>2340701</v>
      </c>
    </row>
    <row r="147" spans="1:10" x14ac:dyDescent="0.25">
      <c r="A147" s="208" t="str">
        <f t="shared" si="16"/>
        <v>ago2021</v>
      </c>
      <c r="B147" s="208" t="str">
        <f t="shared" si="17"/>
        <v>ago</v>
      </c>
      <c r="C147" s="208">
        <f t="shared" si="18"/>
        <v>2021</v>
      </c>
      <c r="D147" s="208" t="str">
        <f t="shared" si="19"/>
        <v>ago</v>
      </c>
      <c r="E147" s="221">
        <v>44440</v>
      </c>
      <c r="F147" s="221">
        <v>44409</v>
      </c>
      <c r="G147" s="220"/>
      <c r="H147" s="219">
        <v>5626587</v>
      </c>
      <c r="I147" s="219">
        <v>3238108</v>
      </c>
      <c r="J147" s="219">
        <v>2388479</v>
      </c>
    </row>
    <row r="148" spans="1:10" x14ac:dyDescent="0.25">
      <c r="A148" s="208" t="str">
        <f t="shared" si="16"/>
        <v>sept2021</v>
      </c>
      <c r="B148" s="208" t="str">
        <f t="shared" si="17"/>
        <v>sept</v>
      </c>
      <c r="C148" s="208">
        <f t="shared" si="18"/>
        <v>2021</v>
      </c>
      <c r="D148" s="208" t="str">
        <f t="shared" si="19"/>
        <v>sept</v>
      </c>
      <c r="E148" s="221">
        <v>44470</v>
      </c>
      <c r="F148" s="221">
        <v>44440</v>
      </c>
      <c r="G148" s="220"/>
      <c r="H148" s="219">
        <v>5685332</v>
      </c>
      <c r="I148" s="219">
        <v>3259001</v>
      </c>
      <c r="J148" s="219">
        <v>2426331</v>
      </c>
    </row>
    <row r="149" spans="1:10" x14ac:dyDescent="0.25">
      <c r="A149" s="208" t="str">
        <f t="shared" si="16"/>
        <v>oct - dic2021</v>
      </c>
      <c r="B149" s="208" t="str">
        <f t="shared" si="17"/>
        <v>oct - dic</v>
      </c>
      <c r="C149" s="208">
        <f t="shared" si="18"/>
        <v>2021</v>
      </c>
      <c r="D149" s="208" t="str">
        <f t="shared" si="19"/>
        <v>oct</v>
      </c>
      <c r="E149" s="221">
        <v>44501</v>
      </c>
      <c r="F149" s="221">
        <v>44470</v>
      </c>
      <c r="G149" s="220"/>
      <c r="H149" s="219">
        <v>5747431</v>
      </c>
      <c r="I149" s="219">
        <v>3291163</v>
      </c>
      <c r="J149" s="219">
        <v>2456268</v>
      </c>
    </row>
    <row r="150" spans="1:10" x14ac:dyDescent="0.25">
      <c r="A150" s="208" t="str">
        <f t="shared" si="16"/>
        <v>oct - dic2021</v>
      </c>
      <c r="B150" s="208" t="str">
        <f t="shared" si="17"/>
        <v>oct - dic</v>
      </c>
      <c r="C150" s="208">
        <f t="shared" si="18"/>
        <v>2021</v>
      </c>
      <c r="D150" s="208" t="str">
        <f t="shared" si="19"/>
        <v>nov</v>
      </c>
      <c r="E150" s="221">
        <v>44531</v>
      </c>
      <c r="F150" s="221">
        <v>44501</v>
      </c>
      <c r="G150" s="220"/>
      <c r="H150" s="219">
        <v>5850749</v>
      </c>
      <c r="I150" s="219">
        <v>3343322</v>
      </c>
      <c r="J150" s="219">
        <v>2507427</v>
      </c>
    </row>
    <row r="151" spans="1:10" x14ac:dyDescent="0.25">
      <c r="A151" s="208" t="str">
        <f t="shared" si="16"/>
        <v>oct - dic2021</v>
      </c>
      <c r="B151" s="208" t="str">
        <f t="shared" si="17"/>
        <v>oct - dic</v>
      </c>
      <c r="C151" s="208">
        <f t="shared" si="18"/>
        <v>2021</v>
      </c>
      <c r="D151" s="208" t="str">
        <f t="shared" si="19"/>
        <v>dic</v>
      </c>
      <c r="E151" s="221">
        <v>44562</v>
      </c>
      <c r="F151" s="221">
        <v>44531</v>
      </c>
      <c r="G151" s="220"/>
      <c r="H151" s="219">
        <v>5901088</v>
      </c>
      <c r="I151" s="219">
        <v>3356657</v>
      </c>
      <c r="J151" s="219">
        <v>2544431</v>
      </c>
    </row>
    <row r="152" spans="1:10" x14ac:dyDescent="0.25">
      <c r="A152" s="208" t="str">
        <f t="shared" si="16"/>
        <v>ene2022</v>
      </c>
      <c r="B152" s="208" t="str">
        <f t="shared" si="17"/>
        <v>ene</v>
      </c>
      <c r="C152" s="208">
        <f t="shared" si="18"/>
        <v>2022</v>
      </c>
      <c r="D152" s="208" t="str">
        <f t="shared" si="19"/>
        <v>ene</v>
      </c>
      <c r="E152" s="221">
        <v>44593</v>
      </c>
      <c r="F152" s="221">
        <v>44562</v>
      </c>
      <c r="G152" s="220"/>
      <c r="H152" s="219">
        <v>5842670</v>
      </c>
      <c r="I152" s="219">
        <v>3327413</v>
      </c>
      <c r="J152" s="219">
        <v>2515257</v>
      </c>
    </row>
    <row r="153" spans="1:10" x14ac:dyDescent="0.25">
      <c r="A153" s="208" t="str">
        <f t="shared" si="16"/>
        <v>feb2022</v>
      </c>
      <c r="B153" s="208" t="str">
        <f t="shared" si="17"/>
        <v>feb</v>
      </c>
      <c r="C153" s="208">
        <f t="shared" si="18"/>
        <v>2022</v>
      </c>
      <c r="D153" s="208" t="str">
        <f t="shared" si="19"/>
        <v>feb</v>
      </c>
      <c r="E153" s="221">
        <v>44621</v>
      </c>
      <c r="F153" s="221">
        <v>44593</v>
      </c>
      <c r="G153" s="220"/>
      <c r="H153" s="219">
        <v>5873967</v>
      </c>
      <c r="I153" s="219">
        <v>3345023</v>
      </c>
      <c r="J153" s="219">
        <v>2528944</v>
      </c>
    </row>
    <row r="154" spans="1:10" x14ac:dyDescent="0.25">
      <c r="A154" s="208" t="str">
        <f t="shared" si="16"/>
        <v>mar2022</v>
      </c>
      <c r="B154" s="208" t="str">
        <f t="shared" si="17"/>
        <v>mar</v>
      </c>
      <c r="C154" s="208">
        <f t="shared" si="18"/>
        <v>2022</v>
      </c>
      <c r="D154" s="208" t="str">
        <f t="shared" si="19"/>
        <v>mar</v>
      </c>
      <c r="E154" s="221">
        <v>44652</v>
      </c>
      <c r="F154" s="221">
        <v>44621</v>
      </c>
      <c r="G154" s="220"/>
      <c r="H154" s="219">
        <v>5880237</v>
      </c>
      <c r="I154" s="219">
        <v>3342105</v>
      </c>
      <c r="J154" s="219">
        <v>2538132</v>
      </c>
    </row>
    <row r="155" spans="1:10" x14ac:dyDescent="0.25">
      <c r="A155" s="208" t="str">
        <f t="shared" si="16"/>
        <v>abr2022</v>
      </c>
      <c r="B155" s="208" t="str">
        <f t="shared" si="17"/>
        <v>abr</v>
      </c>
      <c r="C155" s="208">
        <f t="shared" si="18"/>
        <v>2022</v>
      </c>
      <c r="D155" s="208" t="str">
        <f t="shared" si="19"/>
        <v>abr</v>
      </c>
      <c r="E155" s="221">
        <v>44682</v>
      </c>
      <c r="F155" s="221">
        <v>44652</v>
      </c>
      <c r="G155" s="220"/>
      <c r="H155" s="219">
        <v>5888148</v>
      </c>
      <c r="I155" s="219">
        <v>3340803</v>
      </c>
      <c r="J155" s="219">
        <v>2547345</v>
      </c>
    </row>
    <row r="156" spans="1:10" x14ac:dyDescent="0.25">
      <c r="A156" s="208" t="str">
        <f t="shared" si="16"/>
        <v>may2022</v>
      </c>
      <c r="B156" s="208" t="str">
        <f t="shared" si="17"/>
        <v>may</v>
      </c>
      <c r="C156" s="208">
        <f t="shared" si="18"/>
        <v>2022</v>
      </c>
      <c r="D156" s="208" t="str">
        <f t="shared" si="19"/>
        <v>may</v>
      </c>
      <c r="E156" s="221">
        <v>44713</v>
      </c>
      <c r="F156" s="221">
        <v>44682</v>
      </c>
      <c r="G156" s="220"/>
      <c r="H156" s="219">
        <v>5801276</v>
      </c>
      <c r="I156" s="219">
        <v>3295035</v>
      </c>
      <c r="J156" s="219">
        <v>2506241</v>
      </c>
    </row>
    <row r="157" spans="1:10" x14ac:dyDescent="0.25">
      <c r="A157" s="208" t="str">
        <f t="shared" si="16"/>
        <v>jun2022</v>
      </c>
      <c r="B157" s="208" t="str">
        <f t="shared" si="17"/>
        <v>jun</v>
      </c>
      <c r="C157" s="208">
        <f t="shared" si="18"/>
        <v>2022</v>
      </c>
      <c r="D157" s="208" t="str">
        <f t="shared" si="19"/>
        <v>jun</v>
      </c>
      <c r="E157" s="221">
        <v>44743</v>
      </c>
      <c r="F157" s="221">
        <v>44713</v>
      </c>
      <c r="G157" s="220"/>
      <c r="H157" s="219">
        <v>5789140</v>
      </c>
      <c r="I157" s="219">
        <v>3288038</v>
      </c>
      <c r="J157" s="219">
        <v>2501102</v>
      </c>
    </row>
    <row r="158" spans="1:10" x14ac:dyDescent="0.25">
      <c r="A158" s="208" t="str">
        <f t="shared" si="16"/>
        <v>jul2022</v>
      </c>
      <c r="B158" s="208" t="str">
        <f t="shared" si="17"/>
        <v>jul</v>
      </c>
      <c r="C158" s="208">
        <f t="shared" si="18"/>
        <v>2022</v>
      </c>
      <c r="D158" s="208" t="str">
        <f t="shared" si="19"/>
        <v>jul</v>
      </c>
      <c r="E158" s="221">
        <v>44774</v>
      </c>
      <c r="F158" s="221">
        <v>44743</v>
      </c>
      <c r="G158" s="220"/>
      <c r="H158" s="219">
        <v>5794533</v>
      </c>
      <c r="I158" s="219">
        <v>3294452</v>
      </c>
      <c r="J158" s="219">
        <v>2500081</v>
      </c>
    </row>
    <row r="159" spans="1:10" x14ac:dyDescent="0.25">
      <c r="A159" s="208" t="str">
        <f t="shared" si="16"/>
        <v>ago2022</v>
      </c>
      <c r="B159" s="208" t="str">
        <f t="shared" si="17"/>
        <v>ago</v>
      </c>
      <c r="C159" s="208">
        <f t="shared" si="18"/>
        <v>2022</v>
      </c>
      <c r="D159" s="208" t="str">
        <f t="shared" si="19"/>
        <v>ago</v>
      </c>
      <c r="E159" s="221">
        <v>44805</v>
      </c>
      <c r="F159" s="221">
        <v>44774</v>
      </c>
      <c r="G159" s="220"/>
      <c r="H159" s="219">
        <v>5796948</v>
      </c>
      <c r="I159" s="219">
        <v>3294365</v>
      </c>
      <c r="J159" s="219">
        <v>2502583</v>
      </c>
    </row>
    <row r="160" spans="1:10" x14ac:dyDescent="0.25">
      <c r="A160" s="208" t="str">
        <f t="shared" si="16"/>
        <v>sept2022</v>
      </c>
      <c r="B160" s="208" t="str">
        <f t="shared" si="17"/>
        <v>sept</v>
      </c>
      <c r="C160" s="208">
        <f t="shared" si="18"/>
        <v>2022</v>
      </c>
      <c r="D160" s="208" t="str">
        <f t="shared" si="19"/>
        <v>sept</v>
      </c>
      <c r="E160" s="221">
        <v>44835</v>
      </c>
      <c r="F160" s="221">
        <v>44805</v>
      </c>
      <c r="G160" s="220"/>
      <c r="H160" s="219">
        <v>5770029</v>
      </c>
      <c r="I160" s="219">
        <v>3271082</v>
      </c>
      <c r="J160" s="219">
        <v>2498947</v>
      </c>
    </row>
    <row r="161" spans="1:10" x14ac:dyDescent="0.25">
      <c r="A161" s="208" t="str">
        <f t="shared" si="16"/>
        <v>oct - dic2022</v>
      </c>
      <c r="B161" s="208" t="str">
        <f t="shared" si="17"/>
        <v>oct - dic</v>
      </c>
      <c r="C161" s="208">
        <f t="shared" si="18"/>
        <v>2022</v>
      </c>
      <c r="D161" s="208" t="str">
        <f t="shared" si="19"/>
        <v>oct</v>
      </c>
      <c r="E161" s="221">
        <v>44866</v>
      </c>
      <c r="F161" s="221">
        <v>44835</v>
      </c>
      <c r="G161" s="220"/>
      <c r="H161" s="219">
        <v>5788957</v>
      </c>
      <c r="I161" s="219">
        <v>3284414</v>
      </c>
      <c r="J161" s="219">
        <v>2504543</v>
      </c>
    </row>
    <row r="162" spans="1:10" x14ac:dyDescent="0.25">
      <c r="A162" s="208" t="str">
        <f t="shared" si="16"/>
        <v>oct - dic2022</v>
      </c>
      <c r="B162" s="208" t="str">
        <f t="shared" si="17"/>
        <v>oct - dic</v>
      </c>
      <c r="C162" s="208">
        <f t="shared" si="18"/>
        <v>2022</v>
      </c>
      <c r="D162" s="208" t="str">
        <f t="shared" si="19"/>
        <v>nov</v>
      </c>
      <c r="E162" s="221">
        <v>44896</v>
      </c>
      <c r="F162" s="221">
        <v>44866</v>
      </c>
      <c r="G162" s="220"/>
      <c r="H162" s="219">
        <v>5905203</v>
      </c>
      <c r="I162" s="219">
        <v>3338937</v>
      </c>
      <c r="J162" s="219">
        <v>2566266</v>
      </c>
    </row>
    <row r="163" spans="1:10" x14ac:dyDescent="0.25">
      <c r="A163" s="208" t="str">
        <f t="shared" si="16"/>
        <v>oct - dic2022</v>
      </c>
      <c r="B163" s="208" t="str">
        <f t="shared" si="17"/>
        <v>oct - dic</v>
      </c>
      <c r="C163" s="208">
        <f t="shared" si="18"/>
        <v>2022</v>
      </c>
      <c r="D163" s="208" t="str">
        <f t="shared" si="19"/>
        <v>dic</v>
      </c>
      <c r="E163" s="221">
        <v>44927</v>
      </c>
      <c r="F163" s="221">
        <v>44896</v>
      </c>
      <c r="G163" s="220"/>
      <c r="H163" s="219">
        <v>5970276</v>
      </c>
      <c r="I163" s="219">
        <v>3359847</v>
      </c>
      <c r="J163" s="219">
        <v>2610429</v>
      </c>
    </row>
    <row r="164" spans="1:10" x14ac:dyDescent="0.25">
      <c r="A164" s="208" t="str">
        <f t="shared" si="16"/>
        <v>ene2023</v>
      </c>
      <c r="B164" s="208" t="str">
        <f t="shared" si="17"/>
        <v>ene</v>
      </c>
      <c r="C164" s="208">
        <f t="shared" si="18"/>
        <v>2023</v>
      </c>
      <c r="D164" s="208" t="str">
        <f t="shared" si="19"/>
        <v>ene</v>
      </c>
      <c r="E164" s="221">
        <v>44958</v>
      </c>
      <c r="F164" s="221">
        <v>44927</v>
      </c>
      <c r="G164" s="220"/>
      <c r="H164" s="219">
        <v>5827724</v>
      </c>
      <c r="I164" s="219">
        <v>3296018</v>
      </c>
      <c r="J164" s="219">
        <v>2531706</v>
      </c>
    </row>
    <row r="165" spans="1:10" x14ac:dyDescent="0.25">
      <c r="A165" s="208" t="str">
        <f t="shared" si="16"/>
        <v>feb2023</v>
      </c>
      <c r="B165" s="208" t="str">
        <f t="shared" si="17"/>
        <v>feb</v>
      </c>
      <c r="C165" s="208">
        <f t="shared" si="18"/>
        <v>2023</v>
      </c>
      <c r="D165" s="208" t="str">
        <f t="shared" si="19"/>
        <v>feb</v>
      </c>
      <c r="E165" s="221">
        <v>44986</v>
      </c>
      <c r="F165" s="221">
        <v>44958</v>
      </c>
      <c r="G165" s="220"/>
      <c r="H165" s="219">
        <v>5820456</v>
      </c>
      <c r="I165" s="219">
        <v>3298226</v>
      </c>
      <c r="J165" s="219">
        <v>2522230</v>
      </c>
    </row>
    <row r="166" spans="1:10" x14ac:dyDescent="0.25">
      <c r="A166" s="208" t="str">
        <f t="shared" si="16"/>
        <v>mar2023</v>
      </c>
      <c r="B166" s="208" t="str">
        <f t="shared" si="17"/>
        <v>mar</v>
      </c>
      <c r="C166" s="208">
        <f t="shared" si="18"/>
        <v>2023</v>
      </c>
      <c r="D166" s="208" t="str">
        <f t="shared" si="19"/>
        <v>mar</v>
      </c>
      <c r="E166" s="221">
        <v>45017</v>
      </c>
      <c r="F166" s="221">
        <v>44986</v>
      </c>
      <c r="G166" s="220"/>
      <c r="H166" s="219">
        <v>5800994</v>
      </c>
      <c r="I166" s="219">
        <v>3281346</v>
      </c>
      <c r="J166" s="219">
        <v>2519646</v>
      </c>
    </row>
    <row r="167" spans="1:10" x14ac:dyDescent="0.25">
      <c r="A167" s="208" t="str">
        <f t="shared" si="16"/>
        <v>abr2023</v>
      </c>
      <c r="B167" s="208" t="str">
        <f t="shared" si="17"/>
        <v>abr</v>
      </c>
      <c r="C167" s="208">
        <f t="shared" si="18"/>
        <v>2023</v>
      </c>
      <c r="D167" s="208" t="str">
        <f t="shared" si="19"/>
        <v>abr</v>
      </c>
      <c r="E167" s="221">
        <v>45047</v>
      </c>
      <c r="F167" s="221">
        <v>45017</v>
      </c>
      <c r="G167" s="220"/>
      <c r="H167" s="219">
        <v>5752780</v>
      </c>
      <c r="I167" s="219">
        <v>3253257</v>
      </c>
      <c r="J167" s="219">
        <v>2499523</v>
      </c>
    </row>
    <row r="168" spans="1:10" x14ac:dyDescent="0.25">
      <c r="A168" s="208" t="str">
        <f t="shared" ref="A168:A175" si="20">+B168&amp;C168</f>
        <v>may2023</v>
      </c>
      <c r="B168" s="208" t="str">
        <f t="shared" ref="B168:B175" si="21">+IF(MONTH(F168)&gt;=10,"oct - dic",D168)</f>
        <v>may</v>
      </c>
      <c r="C168" s="208">
        <f t="shared" ref="C168:C175" si="22">+YEAR(F168)</f>
        <v>2023</v>
      </c>
      <c r="D168" s="208" t="str">
        <f t="shared" ref="D168:D175" si="23">+TEXT(F168,"mmm")</f>
        <v>may</v>
      </c>
      <c r="E168" s="221">
        <v>45078</v>
      </c>
      <c r="F168" s="221">
        <v>45047</v>
      </c>
      <c r="G168" s="220"/>
      <c r="H168" s="219">
        <v>5737974</v>
      </c>
      <c r="I168" s="219">
        <v>3240440</v>
      </c>
      <c r="J168" s="219">
        <v>2497534</v>
      </c>
    </row>
    <row r="169" spans="1:10" x14ac:dyDescent="0.25">
      <c r="A169" s="208" t="str">
        <f t="shared" si="20"/>
        <v>jun2023</v>
      </c>
      <c r="B169" s="208" t="str">
        <f t="shared" si="21"/>
        <v>jun</v>
      </c>
      <c r="C169" s="208">
        <f t="shared" si="22"/>
        <v>2023</v>
      </c>
      <c r="D169" s="208" t="str">
        <f t="shared" si="23"/>
        <v>jun</v>
      </c>
      <c r="E169" s="221">
        <v>45108</v>
      </c>
      <c r="F169" s="221">
        <v>45078</v>
      </c>
      <c r="G169" s="220"/>
      <c r="H169" s="219">
        <v>5732045</v>
      </c>
      <c r="I169" s="219">
        <v>3235153</v>
      </c>
      <c r="J169" s="219">
        <v>2496892</v>
      </c>
    </row>
    <row r="170" spans="1:10" x14ac:dyDescent="0.25">
      <c r="A170" s="208" t="str">
        <f t="shared" si="20"/>
        <v>jul2023</v>
      </c>
      <c r="B170" s="208" t="str">
        <f t="shared" si="21"/>
        <v>jul</v>
      </c>
      <c r="C170" s="208">
        <f t="shared" si="22"/>
        <v>2023</v>
      </c>
      <c r="D170" s="208" t="str">
        <f t="shared" si="23"/>
        <v>jul</v>
      </c>
      <c r="E170" s="221">
        <v>45139</v>
      </c>
      <c r="F170" s="221">
        <v>45108</v>
      </c>
      <c r="G170" s="220"/>
      <c r="H170" s="219">
        <v>5728460</v>
      </c>
      <c r="I170" s="219">
        <v>3234574</v>
      </c>
      <c r="J170" s="219">
        <v>2493886</v>
      </c>
    </row>
    <row r="171" spans="1:10" x14ac:dyDescent="0.25">
      <c r="A171" s="208" t="str">
        <f t="shared" si="20"/>
        <v>ago2023</v>
      </c>
      <c r="B171" s="208" t="str">
        <f t="shared" si="21"/>
        <v>ago</v>
      </c>
      <c r="C171" s="208">
        <f t="shared" si="22"/>
        <v>2023</v>
      </c>
      <c r="D171" s="208" t="str">
        <f t="shared" si="23"/>
        <v>ago</v>
      </c>
      <c r="E171" s="221">
        <v>45170</v>
      </c>
      <c r="F171" s="221">
        <v>45139</v>
      </c>
      <c r="G171" s="220"/>
      <c r="H171" s="219">
        <v>5698541</v>
      </c>
      <c r="I171" s="219">
        <v>3211019</v>
      </c>
      <c r="J171" s="219">
        <v>2487522</v>
      </c>
    </row>
    <row r="172" spans="1:10" x14ac:dyDescent="0.25">
      <c r="A172" s="208" t="str">
        <f t="shared" si="20"/>
        <v>sept2023</v>
      </c>
      <c r="B172" s="208" t="str">
        <f t="shared" si="21"/>
        <v>sept</v>
      </c>
      <c r="C172" s="208">
        <f t="shared" si="22"/>
        <v>2023</v>
      </c>
      <c r="D172" s="208" t="str">
        <f t="shared" si="23"/>
        <v>sept</v>
      </c>
      <c r="E172" s="221">
        <v>45200</v>
      </c>
      <c r="F172" s="221">
        <v>45170</v>
      </c>
      <c r="G172" s="220"/>
      <c r="H172" s="219">
        <v>5682236</v>
      </c>
      <c r="I172" s="219">
        <v>3197760</v>
      </c>
      <c r="J172" s="219">
        <v>2484476</v>
      </c>
    </row>
    <row r="173" spans="1:10" x14ac:dyDescent="0.25">
      <c r="A173" s="208" t="str">
        <f t="shared" si="20"/>
        <v>oct - dic2023</v>
      </c>
      <c r="B173" s="208" t="str">
        <f t="shared" si="21"/>
        <v>oct - dic</v>
      </c>
      <c r="C173" s="208">
        <f t="shared" si="22"/>
        <v>2023</v>
      </c>
      <c r="D173" s="208" t="str">
        <f t="shared" si="23"/>
        <v>oct</v>
      </c>
      <c r="E173" s="221">
        <v>45231</v>
      </c>
      <c r="F173" s="221">
        <v>45200</v>
      </c>
      <c r="G173" s="220"/>
      <c r="H173" s="219">
        <v>5681061</v>
      </c>
      <c r="I173" s="219">
        <v>3205872</v>
      </c>
      <c r="J173" s="219">
        <v>2475189</v>
      </c>
    </row>
    <row r="174" spans="1:10" x14ac:dyDescent="0.25">
      <c r="A174" s="208" t="str">
        <f t="shared" si="20"/>
        <v>oct - dic2023</v>
      </c>
      <c r="B174" s="208" t="str">
        <f t="shared" si="21"/>
        <v>oct - dic</v>
      </c>
      <c r="C174" s="208">
        <f t="shared" si="22"/>
        <v>2023</v>
      </c>
      <c r="D174" s="208" t="str">
        <f t="shared" si="23"/>
        <v>nov</v>
      </c>
      <c r="E174" s="221">
        <v>45261</v>
      </c>
      <c r="F174" s="221">
        <v>45231</v>
      </c>
      <c r="G174" s="220"/>
      <c r="H174" s="219">
        <v>5755832</v>
      </c>
      <c r="I174" s="219">
        <v>3236076</v>
      </c>
      <c r="J174" s="219">
        <v>2519756</v>
      </c>
    </row>
    <row r="175" spans="1:10" x14ac:dyDescent="0.25">
      <c r="A175" s="208" t="str">
        <f t="shared" si="20"/>
        <v>oct - dic2023</v>
      </c>
      <c r="B175" s="208" t="str">
        <f t="shared" si="21"/>
        <v>oct - dic</v>
      </c>
      <c r="C175" s="208">
        <f t="shared" si="22"/>
        <v>2023</v>
      </c>
      <c r="D175" s="208" t="str">
        <f t="shared" si="23"/>
        <v>dic</v>
      </c>
      <c r="E175" s="221">
        <v>45292</v>
      </c>
      <c r="F175" s="221">
        <v>45261</v>
      </c>
      <c r="G175" s="220"/>
      <c r="H175" s="219">
        <v>5853010</v>
      </c>
      <c r="I175" s="219">
        <v>3275960</v>
      </c>
      <c r="J175" s="219">
        <v>2577050</v>
      </c>
    </row>
    <row r="176" spans="1:10" x14ac:dyDescent="0.25">
      <c r="E176" s="218"/>
      <c r="F176" s="218"/>
      <c r="G176" s="217"/>
      <c r="H176" s="216"/>
      <c r="I176" s="216"/>
      <c r="J176" s="216"/>
    </row>
    <row r="177" spans="5:10" x14ac:dyDescent="0.25">
      <c r="E177" s="215" t="s">
        <v>470</v>
      </c>
      <c r="F177" s="213"/>
      <c r="H177" s="212"/>
      <c r="I177" s="212"/>
      <c r="J177" s="212"/>
    </row>
    <row r="178" spans="5:10" x14ac:dyDescent="0.25">
      <c r="E178" s="209"/>
      <c r="F178" s="213"/>
      <c r="H178" s="212"/>
      <c r="I178" s="212"/>
      <c r="J178" s="212"/>
    </row>
    <row r="179" spans="5:10" x14ac:dyDescent="0.25">
      <c r="E179" s="214" t="s">
        <v>469</v>
      </c>
      <c r="F179" s="213"/>
      <c r="H179" s="212"/>
      <c r="I179" s="212"/>
      <c r="J179" s="212"/>
    </row>
    <row r="180" spans="5:10" ht="38.25" customHeight="1" x14ac:dyDescent="0.25">
      <c r="E180" s="211" t="s">
        <v>468</v>
      </c>
      <c r="F180" s="211"/>
      <c r="G180" s="211"/>
      <c r="H180" s="211"/>
      <c r="I180" s="211"/>
      <c r="J180" s="211"/>
    </row>
    <row r="181" spans="5:10" x14ac:dyDescent="0.25">
      <c r="H181" s="210"/>
      <c r="I181" s="210"/>
      <c r="J181" s="210"/>
    </row>
  </sheetData>
  <hyperlinks>
    <hyperlink ref="E177" r:id="rId1" xr:uid="{4A8E6612-349F-44B3-B7F9-C7411C2903FD}"/>
    <hyperlink ref="E1" location="índice!A8" display="TOTAL MENSUAL DE COTIZANTES DEPENDIENTES SEGÚN SEXO" xr:uid="{E1018536-1DB6-4569-8ECC-082E40C43974}"/>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DC5BF-97E2-4275-BF1C-573EDA630F7A}">
  <dimension ref="A1:E34"/>
  <sheetViews>
    <sheetView topLeftCell="B1" workbookViewId="0">
      <selection activeCell="F7" sqref="F7"/>
    </sheetView>
    <sheetView topLeftCell="B1" workbookViewId="1"/>
  </sheetViews>
  <sheetFormatPr baseColWidth="10" defaultColWidth="11.5703125" defaultRowHeight="15" x14ac:dyDescent="0.25"/>
  <cols>
    <col min="1" max="1" width="0" hidden="1" customWidth="1"/>
    <col min="2" max="2" width="13.5703125" customWidth="1"/>
    <col min="3" max="3" width="17.7109375" customWidth="1"/>
  </cols>
  <sheetData>
    <row r="1" spans="1:5" ht="15.75" x14ac:dyDescent="0.25">
      <c r="A1" t="s">
        <v>431</v>
      </c>
      <c r="B1" t="s">
        <v>476</v>
      </c>
      <c r="C1" t="s">
        <v>482</v>
      </c>
      <c r="E1" s="234" t="s">
        <v>481</v>
      </c>
    </row>
    <row r="2" spans="1:5" x14ac:dyDescent="0.25">
      <c r="A2" t="str">
        <f t="shared" ref="A2:A34" si="0">+IF(MONTH(B2)&gt;=10,"oct - dic",MONTH(B2))&amp;YEAR(B2)</f>
        <v>oct - dic2013</v>
      </c>
      <c r="B2" s="233">
        <v>41548</v>
      </c>
      <c r="C2" s="22">
        <v>118142</v>
      </c>
    </row>
    <row r="3" spans="1:5" x14ac:dyDescent="0.25">
      <c r="A3" t="str">
        <f t="shared" si="0"/>
        <v>oct - dic2013</v>
      </c>
      <c r="B3" s="233">
        <v>41579</v>
      </c>
      <c r="C3" s="22">
        <v>116693</v>
      </c>
    </row>
    <row r="4" spans="1:5" x14ac:dyDescent="0.25">
      <c r="A4" t="str">
        <f t="shared" si="0"/>
        <v>oct - dic2013</v>
      </c>
      <c r="B4" s="233">
        <v>41609</v>
      </c>
      <c r="C4" s="22">
        <v>118047</v>
      </c>
    </row>
    <row r="5" spans="1:5" x14ac:dyDescent="0.25">
      <c r="A5" t="str">
        <f t="shared" si="0"/>
        <v>oct - dic2014</v>
      </c>
      <c r="B5" s="233">
        <v>41913</v>
      </c>
      <c r="C5" s="22">
        <v>125844</v>
      </c>
    </row>
    <row r="6" spans="1:5" x14ac:dyDescent="0.25">
      <c r="A6" t="str">
        <f t="shared" si="0"/>
        <v>oct - dic2014</v>
      </c>
      <c r="B6" s="233">
        <v>41944</v>
      </c>
      <c r="C6" s="22">
        <v>127033</v>
      </c>
    </row>
    <row r="7" spans="1:5" x14ac:dyDescent="0.25">
      <c r="A7" t="str">
        <f t="shared" si="0"/>
        <v>oct - dic2014</v>
      </c>
      <c r="B7" s="233">
        <v>41974</v>
      </c>
      <c r="C7" s="22">
        <v>130139</v>
      </c>
    </row>
    <row r="8" spans="1:5" x14ac:dyDescent="0.25">
      <c r="A8" t="str">
        <f t="shared" si="0"/>
        <v>oct - dic2015</v>
      </c>
      <c r="B8" s="233">
        <v>42278</v>
      </c>
      <c r="C8" s="22">
        <v>144540</v>
      </c>
    </row>
    <row r="9" spans="1:5" x14ac:dyDescent="0.25">
      <c r="A9" t="str">
        <f t="shared" si="0"/>
        <v>oct - dic2015</v>
      </c>
      <c r="B9" s="233">
        <v>42309</v>
      </c>
      <c r="C9" s="22">
        <v>140386</v>
      </c>
    </row>
    <row r="10" spans="1:5" x14ac:dyDescent="0.25">
      <c r="A10" t="str">
        <f t="shared" si="0"/>
        <v>oct - dic2015</v>
      </c>
      <c r="B10" s="233">
        <v>42339</v>
      </c>
      <c r="C10" s="22">
        <v>139379</v>
      </c>
    </row>
    <row r="11" spans="1:5" x14ac:dyDescent="0.25">
      <c r="A11" t="str">
        <f t="shared" si="0"/>
        <v>oct - dic2016</v>
      </c>
      <c r="B11" s="233">
        <v>42644</v>
      </c>
      <c r="C11" s="22">
        <v>142360</v>
      </c>
    </row>
    <row r="12" spans="1:5" x14ac:dyDescent="0.25">
      <c r="A12" t="str">
        <f t="shared" si="0"/>
        <v>oct - dic2016</v>
      </c>
      <c r="B12" s="233">
        <v>42675</v>
      </c>
      <c r="C12" s="22">
        <v>142385</v>
      </c>
    </row>
    <row r="13" spans="1:5" x14ac:dyDescent="0.25">
      <c r="A13" t="str">
        <f t="shared" si="0"/>
        <v>oct - dic2016</v>
      </c>
      <c r="B13" s="233">
        <v>42705</v>
      </c>
      <c r="C13" s="22">
        <v>138548</v>
      </c>
    </row>
    <row r="14" spans="1:5" x14ac:dyDescent="0.25">
      <c r="A14" t="str">
        <f t="shared" si="0"/>
        <v>oct - dic2017</v>
      </c>
      <c r="B14" s="233">
        <v>43009</v>
      </c>
      <c r="C14" s="22">
        <v>138611</v>
      </c>
    </row>
    <row r="15" spans="1:5" x14ac:dyDescent="0.25">
      <c r="A15" t="str">
        <f t="shared" si="0"/>
        <v>oct - dic2017</v>
      </c>
      <c r="B15" s="233">
        <v>43040</v>
      </c>
      <c r="C15" s="22">
        <v>135737</v>
      </c>
    </row>
    <row r="16" spans="1:5" x14ac:dyDescent="0.25">
      <c r="A16" t="str">
        <f t="shared" si="0"/>
        <v>oct - dic2017</v>
      </c>
      <c r="B16" s="233">
        <v>43070</v>
      </c>
      <c r="C16" s="22">
        <v>138748</v>
      </c>
    </row>
    <row r="17" spans="1:3" x14ac:dyDescent="0.25">
      <c r="A17" t="str">
        <f t="shared" si="0"/>
        <v>oct - dic2018</v>
      </c>
      <c r="B17" s="233">
        <v>43374</v>
      </c>
      <c r="C17" s="22">
        <v>131968</v>
      </c>
    </row>
    <row r="18" spans="1:3" x14ac:dyDescent="0.25">
      <c r="A18" t="str">
        <f t="shared" si="0"/>
        <v>oct - dic2018</v>
      </c>
      <c r="B18" s="233">
        <v>43405</v>
      </c>
      <c r="C18" s="22">
        <v>128959</v>
      </c>
    </row>
    <row r="19" spans="1:3" x14ac:dyDescent="0.25">
      <c r="A19" t="str">
        <f t="shared" si="0"/>
        <v>oct - dic2018</v>
      </c>
      <c r="B19" s="233">
        <v>43435</v>
      </c>
      <c r="C19" s="22">
        <v>130846</v>
      </c>
    </row>
    <row r="20" spans="1:3" x14ac:dyDescent="0.25">
      <c r="A20" t="str">
        <f t="shared" si="0"/>
        <v>oct - dic2019</v>
      </c>
      <c r="B20" s="233">
        <v>43739</v>
      </c>
      <c r="C20" s="22">
        <v>84551</v>
      </c>
    </row>
    <row r="21" spans="1:3" x14ac:dyDescent="0.25">
      <c r="A21" t="str">
        <f t="shared" si="0"/>
        <v>oct - dic2019</v>
      </c>
      <c r="B21" s="233">
        <v>43770</v>
      </c>
      <c r="C21" s="22">
        <v>84411</v>
      </c>
    </row>
    <row r="22" spans="1:3" x14ac:dyDescent="0.25">
      <c r="A22" t="str">
        <f t="shared" si="0"/>
        <v>oct - dic2019</v>
      </c>
      <c r="B22" s="233">
        <v>43800</v>
      </c>
      <c r="C22" s="22">
        <v>90305</v>
      </c>
    </row>
    <row r="23" spans="1:3" x14ac:dyDescent="0.25">
      <c r="A23" t="str">
        <f t="shared" si="0"/>
        <v>oct - dic2020</v>
      </c>
      <c r="B23" s="233">
        <v>44105</v>
      </c>
      <c r="C23" s="22">
        <v>75670</v>
      </c>
    </row>
    <row r="24" spans="1:3" x14ac:dyDescent="0.25">
      <c r="A24" t="str">
        <f t="shared" si="0"/>
        <v>oct - dic2020</v>
      </c>
      <c r="B24" s="233">
        <v>44136</v>
      </c>
      <c r="C24" s="22">
        <v>75212</v>
      </c>
    </row>
    <row r="25" spans="1:3" x14ac:dyDescent="0.25">
      <c r="A25" t="str">
        <f t="shared" si="0"/>
        <v>oct - dic2020</v>
      </c>
      <c r="B25" s="233">
        <v>44166</v>
      </c>
      <c r="C25" s="22">
        <v>76349</v>
      </c>
    </row>
    <row r="26" spans="1:3" x14ac:dyDescent="0.25">
      <c r="A26" t="str">
        <f t="shared" si="0"/>
        <v>oct - dic2021</v>
      </c>
      <c r="B26" s="233">
        <v>44470</v>
      </c>
      <c r="C26" s="22">
        <v>73686</v>
      </c>
    </row>
    <row r="27" spans="1:3" x14ac:dyDescent="0.25">
      <c r="A27" t="str">
        <f t="shared" si="0"/>
        <v>oct - dic2021</v>
      </c>
      <c r="B27" s="233">
        <v>44501</v>
      </c>
      <c r="C27" s="22">
        <v>75212</v>
      </c>
    </row>
    <row r="28" spans="1:3" x14ac:dyDescent="0.25">
      <c r="A28" t="str">
        <f t="shared" si="0"/>
        <v>oct - dic2021</v>
      </c>
      <c r="B28" s="233">
        <v>44531</v>
      </c>
      <c r="C28" s="22">
        <v>72012</v>
      </c>
    </row>
    <row r="29" spans="1:3" x14ac:dyDescent="0.25">
      <c r="A29" t="str">
        <f t="shared" si="0"/>
        <v>oct - dic2022</v>
      </c>
      <c r="B29" s="233">
        <v>44835</v>
      </c>
      <c r="C29" s="22">
        <v>62962</v>
      </c>
    </row>
    <row r="30" spans="1:3" x14ac:dyDescent="0.25">
      <c r="A30" t="str">
        <f t="shared" si="0"/>
        <v>oct - dic2022</v>
      </c>
      <c r="B30" s="233">
        <v>44866</v>
      </c>
      <c r="C30" s="22">
        <v>62257</v>
      </c>
    </row>
    <row r="31" spans="1:3" x14ac:dyDescent="0.25">
      <c r="A31" t="str">
        <f t="shared" si="0"/>
        <v>oct - dic2022</v>
      </c>
      <c r="B31" s="233">
        <v>44896</v>
      </c>
      <c r="C31" s="22">
        <v>60590</v>
      </c>
    </row>
    <row r="32" spans="1:3" x14ac:dyDescent="0.25">
      <c r="A32" t="str">
        <f t="shared" si="0"/>
        <v>oct - dic2023</v>
      </c>
      <c r="B32" s="233">
        <v>45200</v>
      </c>
      <c r="C32" s="22">
        <v>53694</v>
      </c>
    </row>
    <row r="33" spans="1:3" x14ac:dyDescent="0.25">
      <c r="A33" t="str">
        <f t="shared" si="0"/>
        <v>oct - dic2023</v>
      </c>
      <c r="B33" s="233">
        <v>45231</v>
      </c>
      <c r="C33" s="22">
        <v>53422</v>
      </c>
    </row>
    <row r="34" spans="1:3" x14ac:dyDescent="0.25">
      <c r="A34" t="str">
        <f t="shared" si="0"/>
        <v>oct - dic2023</v>
      </c>
      <c r="B34" s="233">
        <v>45261</v>
      </c>
      <c r="C34" s="22">
        <v>53688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EF231-87F1-468D-8617-4C515DE74BFC}">
  <sheetPr>
    <tabColor rgb="FF009999"/>
  </sheetPr>
  <dimension ref="B2:L23"/>
  <sheetViews>
    <sheetView showGridLines="0" workbookViewId="0"/>
    <sheetView workbookViewId="1"/>
  </sheetViews>
  <sheetFormatPr baseColWidth="10" defaultRowHeight="15" x14ac:dyDescent="0.25"/>
  <cols>
    <col min="1" max="1" width="6.42578125" customWidth="1"/>
    <col min="3" max="3" width="11.85546875" bestFit="1" customWidth="1"/>
    <col min="5" max="5" width="10.5703125" bestFit="1" customWidth="1"/>
    <col min="6" max="6" width="12.85546875" bestFit="1" customWidth="1"/>
    <col min="7" max="7" width="14.140625" customWidth="1"/>
  </cols>
  <sheetData>
    <row r="2" spans="2:10" x14ac:dyDescent="0.25">
      <c r="B2" s="517" t="s">
        <v>642</v>
      </c>
      <c r="C2" s="517"/>
      <c r="D2" s="517"/>
      <c r="E2" s="517"/>
      <c r="F2" s="517"/>
      <c r="G2" s="517"/>
      <c r="H2" s="517"/>
    </row>
    <row r="3" spans="2:10" ht="32.25" customHeight="1" x14ac:dyDescent="0.25">
      <c r="B3" s="41" t="s">
        <v>64</v>
      </c>
      <c r="C3" s="41" t="s">
        <v>1</v>
      </c>
      <c r="D3" s="41" t="s">
        <v>3</v>
      </c>
      <c r="E3" s="41" t="s">
        <v>44</v>
      </c>
      <c r="F3" s="41" t="s">
        <v>5</v>
      </c>
      <c r="G3" s="41" t="s">
        <v>65</v>
      </c>
      <c r="H3" s="41" t="s">
        <v>31</v>
      </c>
    </row>
    <row r="4" spans="2:10" ht="16.149999999999999" customHeight="1" x14ac:dyDescent="0.25">
      <c r="B4" s="23">
        <v>39783</v>
      </c>
      <c r="C4" s="24">
        <f>VLOOKUP($B4,'AUX Beneficiarios Mensual'!$C$7:$X$1048576,16,FALSE)</f>
        <v>358445</v>
      </c>
      <c r="D4" s="24">
        <f>VLOOKUP($B4,'AUX Beneficiarios Mensual'!$C$7:$X$1048576,19,FALSE)</f>
        <v>4485</v>
      </c>
      <c r="E4" s="24" t="s">
        <v>57</v>
      </c>
      <c r="F4" s="24">
        <f>SUM(C4:E4)</f>
        <v>362930</v>
      </c>
      <c r="G4" s="24">
        <f>'Tabla 1'!E8</f>
        <v>1642740</v>
      </c>
      <c r="H4" s="25">
        <f>F4/G4</f>
        <v>0.22092966628924846</v>
      </c>
    </row>
    <row r="5" spans="2:10" x14ac:dyDescent="0.25">
      <c r="B5" s="23">
        <v>40148</v>
      </c>
      <c r="C5" s="24">
        <f>VLOOKUP($B5,'AUX Beneficiarios Mensual'!$C$7:$X$1048576,16,FALSE)</f>
        <v>398828</v>
      </c>
      <c r="D5" s="24">
        <f>VLOOKUP($B5,'AUX Beneficiarios Mensual'!$C$7:$X$1048576,19,FALSE)</f>
        <v>237978</v>
      </c>
      <c r="E5" s="24" t="s">
        <v>57</v>
      </c>
      <c r="F5" s="24">
        <f>SUM(C5:E5)</f>
        <v>636806</v>
      </c>
      <c r="G5" s="24">
        <f>'Tabla 1'!E9</f>
        <v>1692215</v>
      </c>
      <c r="H5" s="25">
        <f>F5/G5</f>
        <v>0.37631506634795225</v>
      </c>
    </row>
    <row r="6" spans="2:10" x14ac:dyDescent="0.25">
      <c r="B6" s="23">
        <v>40513</v>
      </c>
      <c r="C6" s="24">
        <f>VLOOKUP($B6,'AUX Beneficiarios Mensual'!$C$7:$X$1048576,16,FALSE)</f>
        <v>407118</v>
      </c>
      <c r="D6" s="24">
        <f>VLOOKUP($B6,'AUX Beneficiarios Mensual'!$C$7:$X$1048576,19,FALSE)</f>
        <v>370216</v>
      </c>
      <c r="E6" s="24" t="s">
        <v>57</v>
      </c>
      <c r="F6" s="24">
        <f t="shared" ref="F6:F19" si="0">SUM(C6:E6)</f>
        <v>777334</v>
      </c>
      <c r="G6" s="24">
        <f>'Tabla 1'!E10</f>
        <v>1743275</v>
      </c>
      <c r="H6" s="25">
        <f>F6/G6</f>
        <v>0.44590440406705767</v>
      </c>
    </row>
    <row r="7" spans="2:10" x14ac:dyDescent="0.25">
      <c r="B7" s="23">
        <v>40878</v>
      </c>
      <c r="C7" s="24">
        <f>VLOOKUP($B7,'AUX Beneficiarios Mensual'!$C$7:$X$1048576,16,FALSE)</f>
        <v>405116</v>
      </c>
      <c r="D7" s="24">
        <f>VLOOKUP($B7,'AUX Beneficiarios Mensual'!$C$7:$X$1048576,19,FALSE)</f>
        <v>436791</v>
      </c>
      <c r="E7" s="24" t="s">
        <v>57</v>
      </c>
      <c r="F7" s="24">
        <f t="shared" si="0"/>
        <v>841907</v>
      </c>
      <c r="G7" s="24">
        <f>'Tabla 1'!E11</f>
        <v>1797710</v>
      </c>
      <c r="H7" s="25">
        <f t="shared" ref="H7:H19" si="1">F7/G7</f>
        <v>0.46832192066573586</v>
      </c>
    </row>
    <row r="8" spans="2:10" x14ac:dyDescent="0.25">
      <c r="B8" s="23">
        <v>41244</v>
      </c>
      <c r="C8" s="24">
        <f>VLOOKUP($B8,'AUX Beneficiarios Mensual'!$C$7:$X$1048576,16,FALSE)</f>
        <v>406123</v>
      </c>
      <c r="D8" s="24">
        <f>VLOOKUP($B8,'AUX Beneficiarios Mensual'!$C$7:$X$1048576,19,FALSE)</f>
        <v>539888</v>
      </c>
      <c r="E8" s="24" t="s">
        <v>57</v>
      </c>
      <c r="F8" s="24">
        <f t="shared" si="0"/>
        <v>946011</v>
      </c>
      <c r="G8" s="24">
        <f>'Tabla 1'!E12</f>
        <v>1855725</v>
      </c>
      <c r="H8" s="25">
        <f t="shared" si="1"/>
        <v>0.50977973568281942</v>
      </c>
    </row>
    <row r="9" spans="2:10" x14ac:dyDescent="0.25">
      <c r="B9" s="23">
        <v>41609</v>
      </c>
      <c r="C9" s="24">
        <f>VLOOKUP($B9,'AUX Beneficiarios Mensual'!$C$7:$X$1048576,16,FALSE)</f>
        <v>400768</v>
      </c>
      <c r="D9" s="24">
        <f>VLOOKUP($B9,'AUX Beneficiarios Mensual'!$C$7:$X$1048576,19,FALSE)</f>
        <v>586883</v>
      </c>
      <c r="E9" s="24" t="s">
        <v>57</v>
      </c>
      <c r="F9" s="24">
        <f t="shared" si="0"/>
        <v>987651</v>
      </c>
      <c r="G9" s="24">
        <f>'Tabla 1'!E13</f>
        <v>1921779</v>
      </c>
      <c r="H9" s="25">
        <f t="shared" si="1"/>
        <v>0.51392537851646836</v>
      </c>
    </row>
    <row r="10" spans="2:10" x14ac:dyDescent="0.25">
      <c r="B10" s="23">
        <v>41974</v>
      </c>
      <c r="C10" s="24">
        <f>VLOOKUP($B10,'AUX Beneficiarios Mensual'!$C$7:$X$1048576,16,FALSE)</f>
        <v>401656</v>
      </c>
      <c r="D10" s="24">
        <f>VLOOKUP($B10,'AUX Beneficiarios Mensual'!$C$7:$X$1048576,19,FALSE)</f>
        <v>635745</v>
      </c>
      <c r="E10" s="24" t="s">
        <v>57</v>
      </c>
      <c r="F10" s="24">
        <f t="shared" si="0"/>
        <v>1037401</v>
      </c>
      <c r="G10" s="24">
        <f>'Tabla 1'!E14</f>
        <v>1992115</v>
      </c>
      <c r="H10" s="25">
        <f t="shared" si="1"/>
        <v>0.52075357095348407</v>
      </c>
    </row>
    <row r="11" spans="2:10" x14ac:dyDescent="0.25">
      <c r="B11" s="23">
        <v>42339</v>
      </c>
      <c r="C11" s="24">
        <f>VLOOKUP($B11,'AUX Beneficiarios Mensual'!$C$7:$X$1048576,16,FALSE)</f>
        <v>399514</v>
      </c>
      <c r="D11" s="24">
        <f>VLOOKUP($B11,'AUX Beneficiarios Mensual'!$C$7:$X$1048576,19,FALSE)</f>
        <v>686489</v>
      </c>
      <c r="E11" s="24" t="s">
        <v>57</v>
      </c>
      <c r="F11" s="24">
        <f t="shared" si="0"/>
        <v>1086003</v>
      </c>
      <c r="G11" s="24">
        <f>'Tabla 1'!E15</f>
        <v>2068477</v>
      </c>
      <c r="H11" s="25">
        <f t="shared" si="1"/>
        <v>0.5250254172514367</v>
      </c>
      <c r="J11" s="377"/>
    </row>
    <row r="12" spans="2:10" x14ac:dyDescent="0.25">
      <c r="B12" s="23">
        <v>42705</v>
      </c>
      <c r="C12" s="24">
        <f>VLOOKUP($B12,'AUX Beneficiarios Mensual'!$C$7:$X$1048576,16,FALSE)</f>
        <v>398651</v>
      </c>
      <c r="D12" s="24">
        <f>VLOOKUP($B12,'AUX Beneficiarios Mensual'!$C$7:$X$1048576,19,FALSE)</f>
        <v>725754</v>
      </c>
      <c r="E12" s="24" t="s">
        <v>57</v>
      </c>
      <c r="F12" s="24">
        <f t="shared" si="0"/>
        <v>1124405</v>
      </c>
      <c r="G12" s="24">
        <f>'Tabla 1'!E16</f>
        <v>2149387</v>
      </c>
      <c r="H12" s="25">
        <f t="shared" si="1"/>
        <v>0.52312822213961474</v>
      </c>
    </row>
    <row r="13" spans="2:10" x14ac:dyDescent="0.25">
      <c r="B13" s="23">
        <v>43070</v>
      </c>
      <c r="C13" s="24">
        <f>VLOOKUP($B13,'AUX Beneficiarios Mensual'!$C$7:$X$1048576,16,FALSE)</f>
        <v>399510</v>
      </c>
      <c r="D13" s="24">
        <f>VLOOKUP($B13,'AUX Beneficiarios Mensual'!$C$7:$X$1048576,19,FALSE)</f>
        <v>774083</v>
      </c>
      <c r="E13" s="24" t="s">
        <v>57</v>
      </c>
      <c r="F13" s="24">
        <f t="shared" si="0"/>
        <v>1173593</v>
      </c>
      <c r="G13" s="24">
        <f>'Tabla 1'!E17</f>
        <v>2235362</v>
      </c>
      <c r="H13" s="25">
        <f t="shared" si="1"/>
        <v>0.52501250356765483</v>
      </c>
    </row>
    <row r="14" spans="2:10" x14ac:dyDescent="0.25">
      <c r="B14" s="23">
        <v>43435</v>
      </c>
      <c r="C14" s="24">
        <f>VLOOKUP($B14,'AUX Beneficiarios Mensual'!$C$7:$X$1048576,16,FALSE)</f>
        <v>404348</v>
      </c>
      <c r="D14" s="24">
        <f>VLOOKUP($B14,'AUX Beneficiarios Mensual'!$C$7:$X$1048576,19,FALSE)</f>
        <v>853431</v>
      </c>
      <c r="E14" s="24" t="s">
        <v>57</v>
      </c>
      <c r="F14" s="24">
        <f t="shared" si="0"/>
        <v>1257779</v>
      </c>
      <c r="G14" s="24">
        <f>'Tabla 1'!E18</f>
        <v>2323058</v>
      </c>
      <c r="H14" s="25">
        <f t="shared" si="1"/>
        <v>0.54143245670146845</v>
      </c>
    </row>
    <row r="15" spans="2:10" x14ac:dyDescent="0.25">
      <c r="B15" s="23">
        <v>43800</v>
      </c>
      <c r="C15" s="24">
        <f>VLOOKUP($B15,'AUX Beneficiarios Mensual'!$C$7:$X$1048576,16,FALSE)</f>
        <v>407066</v>
      </c>
      <c r="D15" s="24">
        <f>VLOOKUP($B15,'AUX Beneficiarios Mensual'!$C$7:$X$1048576,19,FALSE)</f>
        <v>914029</v>
      </c>
      <c r="E15" s="24" t="s">
        <v>57</v>
      </c>
      <c r="F15" s="24">
        <f t="shared" si="0"/>
        <v>1321095</v>
      </c>
      <c r="G15" s="24">
        <f>'Tabla 1'!E19</f>
        <v>2409593</v>
      </c>
      <c r="H15" s="25">
        <f t="shared" si="1"/>
        <v>0.54826478994585393</v>
      </c>
    </row>
    <row r="16" spans="2:10" x14ac:dyDescent="0.25">
      <c r="B16" s="23">
        <v>44166</v>
      </c>
      <c r="C16" s="24">
        <f>VLOOKUP($B16,'AUX Beneficiarios Mensual'!$C$7:$X$1048576,16,FALSE)</f>
        <v>407108</v>
      </c>
      <c r="D16" s="24">
        <f>VLOOKUP($B16,'AUX Beneficiarios Mensual'!$C$7:$X$1048576,19,FALSE)</f>
        <v>1034956</v>
      </c>
      <c r="E16" s="24" t="s">
        <v>57</v>
      </c>
      <c r="F16" s="24">
        <f t="shared" si="0"/>
        <v>1442064</v>
      </c>
      <c r="G16" s="24">
        <f>'Tabla 1'!E20</f>
        <v>2482193</v>
      </c>
      <c r="H16" s="25">
        <f t="shared" si="1"/>
        <v>0.58096368815801191</v>
      </c>
    </row>
    <row r="17" spans="2:12" x14ac:dyDescent="0.25">
      <c r="B17" s="23">
        <v>44531</v>
      </c>
      <c r="C17" s="24">
        <f>VLOOKUP($B17,'AUX Beneficiarios Mensual'!$C$7:$X$1048576,16,FALSE)</f>
        <v>413523</v>
      </c>
      <c r="D17" s="24">
        <f>VLOOKUP($B17,'AUX Beneficiarios Mensual'!$C$7:$X$1048576,19,FALSE)</f>
        <v>1147603</v>
      </c>
      <c r="E17" s="24" t="s">
        <v>57</v>
      </c>
      <c r="F17" s="24">
        <f t="shared" si="0"/>
        <v>1561126</v>
      </c>
      <c r="G17" s="24">
        <f>'Tabla 1'!E21</f>
        <v>2559501</v>
      </c>
      <c r="H17" s="25">
        <f t="shared" si="1"/>
        <v>0.60993373317689659</v>
      </c>
    </row>
    <row r="18" spans="2:12" x14ac:dyDescent="0.25">
      <c r="B18" s="23">
        <v>44896</v>
      </c>
      <c r="C18" s="24"/>
      <c r="D18" s="24">
        <f>VLOOKUP($B18,'AUX Beneficiarios Mensual'!$C$7:$X$1048576,19,FALSE)</f>
        <v>172179</v>
      </c>
      <c r="E18" s="24">
        <f>VLOOKUP($B18,'AUX Beneficiarios Mensual'!$C$7:$X$1048576,16,FALSE)+VLOOKUP($B18,'AUX Beneficiarios Mensual'!$C$7:$X$1048576,18,FALSE)</f>
        <v>1767717</v>
      </c>
      <c r="F18" s="24">
        <f t="shared" si="0"/>
        <v>1939896</v>
      </c>
      <c r="G18" s="24">
        <f>'Tabla 1'!E22</f>
        <v>2641638</v>
      </c>
      <c r="H18" s="25">
        <f t="shared" si="1"/>
        <v>0.73435345796812435</v>
      </c>
    </row>
    <row r="19" spans="2:12" x14ac:dyDescent="0.25">
      <c r="B19" s="23">
        <v>45261</v>
      </c>
      <c r="C19" s="24" t="s">
        <v>57</v>
      </c>
      <c r="D19" s="24">
        <f>VLOOKUP($B19,'AUX Beneficiarios Mensual'!$C$7:$X$1048576,19,FALSE)</f>
        <v>166187</v>
      </c>
      <c r="E19" s="24">
        <f>VLOOKUP($B19,'AUX Beneficiarios Mensual'!$C$7:$X$1048576,16,FALSE)+VLOOKUP($B19,'AUX Beneficiarios Mensual'!$C$7:$X$1048576,18,FALSE)</f>
        <v>1980698</v>
      </c>
      <c r="F19" s="24">
        <f t="shared" si="0"/>
        <v>2146885</v>
      </c>
      <c r="G19" s="24">
        <f>'Tabla 1'!E23</f>
        <v>2742256</v>
      </c>
      <c r="H19" s="25">
        <f t="shared" si="1"/>
        <v>0.78289007299099722</v>
      </c>
    </row>
    <row r="20" spans="2:12" x14ac:dyDescent="0.25">
      <c r="B20" s="23">
        <v>45627</v>
      </c>
      <c r="C20" s="24" t="s">
        <v>57</v>
      </c>
      <c r="D20" s="24">
        <f>VLOOKUP($B20,'AUX Beneficiarios Mensual'!$C$7:$X$1048576,19,FALSE)</f>
        <v>159353</v>
      </c>
      <c r="E20" s="24">
        <f>VLOOKUP($B20,'AUX Beneficiarios Mensual'!$C$7:$X$1048576,16,FALSE)+VLOOKUP($B20,'AUX Beneficiarios Mensual'!$C$7:$X$1048576,18,FALSE)</f>
        <v>2115774</v>
      </c>
      <c r="F20" s="24">
        <f>SUM(C20:E20)</f>
        <v>2275127</v>
      </c>
      <c r="G20" s="24">
        <f>'Tabla 1'!E24</f>
        <v>2845279</v>
      </c>
      <c r="H20" s="25">
        <f>F20/G20</f>
        <v>0.79961473022505003</v>
      </c>
      <c r="I20" s="55"/>
      <c r="J20" s="71"/>
      <c r="K20" s="55"/>
      <c r="L20" s="71"/>
    </row>
    <row r="21" spans="2:12" x14ac:dyDescent="0.25">
      <c r="B21" s="23">
        <v>45992</v>
      </c>
      <c r="C21" s="24" t="s">
        <v>57</v>
      </c>
      <c r="D21" s="24">
        <f>VLOOKUP($B21,'AUX Beneficiarios Mensual'!$C$7:$X$1048576,19,FALSE)</f>
        <v>153457</v>
      </c>
      <c r="E21" s="24">
        <f>VLOOKUP($B21,'AUX Beneficiarios Mensual'!$C$7:$X$1048576,16,FALSE)+VLOOKUP($B21,'AUX Beneficiarios Mensual'!$C$7:$X$1048576,18,FALSE)</f>
        <v>2243121</v>
      </c>
      <c r="F21" s="24">
        <f>SUM(C21:E21)</f>
        <v>2396578</v>
      </c>
      <c r="G21" s="24">
        <f>'Tabla 1'!E25</f>
        <v>2949745</v>
      </c>
      <c r="H21" s="25">
        <f>F21/G21</f>
        <v>0.81246955245283914</v>
      </c>
      <c r="I21" s="55"/>
      <c r="J21" s="71"/>
      <c r="K21" s="55"/>
      <c r="L21" s="71"/>
    </row>
    <row r="22" spans="2:12" ht="26.25" customHeight="1" x14ac:dyDescent="0.25">
      <c r="B22" s="520" t="s">
        <v>676</v>
      </c>
      <c r="C22" s="521"/>
      <c r="D22" s="521"/>
      <c r="E22" s="521"/>
      <c r="F22" s="521"/>
      <c r="G22" s="521"/>
      <c r="H22" s="521"/>
      <c r="I22" s="55"/>
      <c r="J22" s="71"/>
    </row>
    <row r="23" spans="2:12" ht="26.25" customHeight="1" x14ac:dyDescent="0.25"/>
  </sheetData>
  <mergeCells count="2">
    <mergeCell ref="B2:H2"/>
    <mergeCell ref="B22:H22"/>
  </mergeCells>
  <pageMargins left="0.7" right="0.7" top="0.75" bottom="0.75" header="0.3" footer="0.3"/>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82033-B2FE-4C9E-B814-AD8D218C7C95}">
  <dimension ref="A1:E8"/>
  <sheetViews>
    <sheetView workbookViewId="0">
      <selection activeCell="E16" sqref="E16"/>
    </sheetView>
    <sheetView workbookViewId="1"/>
  </sheetViews>
  <sheetFormatPr baseColWidth="10" defaultColWidth="11.5703125" defaultRowHeight="15" x14ac:dyDescent="0.25"/>
  <cols>
    <col min="2" max="2" width="12.7109375" customWidth="1"/>
    <col min="3" max="3" width="14.28515625" customWidth="1"/>
    <col min="4" max="4" width="16.7109375" customWidth="1"/>
  </cols>
  <sheetData>
    <row r="1" spans="1:5" ht="51" customHeight="1" thickBot="1" x14ac:dyDescent="0.3">
      <c r="A1" s="243" t="s">
        <v>6</v>
      </c>
      <c r="B1" s="242" t="s">
        <v>486</v>
      </c>
      <c r="C1" s="242" t="s">
        <v>485</v>
      </c>
      <c r="D1" s="242" t="s">
        <v>484</v>
      </c>
      <c r="E1" s="241" t="s">
        <v>5</v>
      </c>
    </row>
    <row r="2" spans="1:5" ht="16.5" thickBot="1" x14ac:dyDescent="0.3">
      <c r="A2" s="240">
        <v>2019</v>
      </c>
      <c r="B2" s="239">
        <v>224220</v>
      </c>
      <c r="C2" s="239">
        <v>275344</v>
      </c>
      <c r="D2" s="239">
        <v>29215</v>
      </c>
      <c r="E2" s="238">
        <v>528779</v>
      </c>
    </row>
    <row r="3" spans="1:5" ht="16.5" thickBot="1" x14ac:dyDescent="0.3">
      <c r="A3" s="240">
        <v>2020</v>
      </c>
      <c r="B3" s="239">
        <v>237366</v>
      </c>
      <c r="C3" s="239">
        <v>287355</v>
      </c>
      <c r="D3" s="239">
        <v>28851</v>
      </c>
      <c r="E3" s="238">
        <v>553572</v>
      </c>
    </row>
    <row r="4" spans="1:5" ht="16.5" thickBot="1" x14ac:dyDescent="0.3">
      <c r="A4" s="240">
        <v>2021</v>
      </c>
      <c r="B4" s="239">
        <v>234032</v>
      </c>
      <c r="C4" s="239">
        <v>265778</v>
      </c>
      <c r="D4" s="239">
        <v>19667</v>
      </c>
      <c r="E4" s="238">
        <v>519477</v>
      </c>
    </row>
    <row r="5" spans="1:5" ht="16.5" thickBot="1" x14ac:dyDescent="0.3">
      <c r="A5" s="240">
        <v>2022</v>
      </c>
      <c r="B5" s="239">
        <v>262528</v>
      </c>
      <c r="C5" s="239">
        <v>345101</v>
      </c>
      <c r="D5" s="239">
        <v>17790</v>
      </c>
      <c r="E5" s="238">
        <v>625419</v>
      </c>
    </row>
    <row r="6" spans="1:5" ht="15.75" x14ac:dyDescent="0.25">
      <c r="A6" s="237">
        <v>2023</v>
      </c>
      <c r="B6" s="236">
        <v>263172</v>
      </c>
      <c r="C6" s="236">
        <v>335851</v>
      </c>
      <c r="D6" s="236">
        <v>14344</v>
      </c>
      <c r="E6" s="235">
        <v>613367</v>
      </c>
    </row>
    <row r="8" spans="1:5" x14ac:dyDescent="0.25">
      <c r="A8" t="s">
        <v>483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1780E-8679-4FF9-9D8B-E00A555A5797}">
  <sheetPr>
    <tabColor rgb="FF009999"/>
  </sheetPr>
  <dimension ref="B2:P41"/>
  <sheetViews>
    <sheetView showGridLines="0" workbookViewId="0">
      <selection activeCell="H4" sqref="H4"/>
    </sheetView>
    <sheetView workbookViewId="1"/>
  </sheetViews>
  <sheetFormatPr baseColWidth="10" defaultRowHeight="15" x14ac:dyDescent="0.25"/>
  <cols>
    <col min="1" max="1" width="5.28515625" customWidth="1"/>
    <col min="3" max="3" width="12.85546875" bestFit="1" customWidth="1"/>
    <col min="4" max="4" width="10.7109375" bestFit="1" customWidth="1"/>
    <col min="5" max="5" width="11.42578125" bestFit="1" customWidth="1"/>
    <col min="6" max="6" width="10.7109375" bestFit="1" customWidth="1"/>
    <col min="7" max="7" width="12.5703125" bestFit="1" customWidth="1"/>
    <col min="8" max="8" width="15.7109375" bestFit="1" customWidth="1"/>
    <col min="12" max="12" width="12" bestFit="1" customWidth="1"/>
  </cols>
  <sheetData>
    <row r="2" spans="2:16" ht="28.5" customHeight="1" x14ac:dyDescent="0.25">
      <c r="B2" s="509" t="s">
        <v>643</v>
      </c>
      <c r="C2" s="509"/>
      <c r="D2" s="509"/>
      <c r="E2" s="509"/>
      <c r="F2" s="509"/>
      <c r="G2" s="509"/>
      <c r="H2" s="509"/>
      <c r="M2" s="22"/>
    </row>
    <row r="3" spans="2:16" ht="45" customHeight="1" x14ac:dyDescent="0.25">
      <c r="B3" s="40" t="s">
        <v>6</v>
      </c>
      <c r="C3" s="40" t="s">
        <v>12</v>
      </c>
      <c r="D3" s="40" t="s">
        <v>11</v>
      </c>
      <c r="E3" s="40" t="s">
        <v>44</v>
      </c>
      <c r="F3" s="40" t="s">
        <v>5</v>
      </c>
      <c r="G3" s="40" t="s">
        <v>67</v>
      </c>
      <c r="H3" s="40" t="s">
        <v>68</v>
      </c>
      <c r="I3" s="22"/>
      <c r="J3" s="22"/>
      <c r="K3" s="22"/>
      <c r="L3" s="22"/>
      <c r="M3" s="22"/>
      <c r="N3" s="22"/>
      <c r="O3" s="22"/>
      <c r="P3" s="22"/>
    </row>
    <row r="4" spans="2:16" x14ac:dyDescent="0.25">
      <c r="B4" s="58">
        <v>2009</v>
      </c>
      <c r="C4" s="59">
        <f>(('Tabla 7'!F5*1000000)/'Tabla 4'!C5)/12</f>
        <v>66169.225257208862</v>
      </c>
      <c r="D4" s="59">
        <f>(('Tabla 7'!G5*1000000)/'Tabla 4'!D5)/12</f>
        <v>9431.9949525156353</v>
      </c>
      <c r="E4" s="59" t="s">
        <v>132</v>
      </c>
      <c r="F4" s="59">
        <f>((('Tabla 7'!F5+'Tabla 7'!G5+'Tabla 7'!I5)*1000000)/'Tabla 4'!F5)/12</f>
        <v>44966.20174070575</v>
      </c>
      <c r="G4" s="60">
        <f>+'Tabla 1'!K9*1000000/('Tabla 1'!C9*12)</f>
        <v>468629.57068727567</v>
      </c>
      <c r="H4" s="61">
        <f>+F4/G4</f>
        <v>9.5952548779113314E-2</v>
      </c>
      <c r="I4" s="22"/>
      <c r="J4" s="22"/>
      <c r="K4" s="22"/>
      <c r="L4" s="22"/>
      <c r="M4" s="22"/>
      <c r="N4" s="22"/>
      <c r="O4" s="22"/>
      <c r="P4" s="22"/>
    </row>
    <row r="5" spans="2:16" x14ac:dyDescent="0.25">
      <c r="B5" s="58">
        <v>2010</v>
      </c>
      <c r="C5" s="59">
        <f>(('Tabla 7'!F6*1000000)/'Tabla 4'!C6)/12</f>
        <v>76030.803237059605</v>
      </c>
      <c r="D5" s="59">
        <f>(('Tabla 7'!G6*1000000)/'Tabla 4'!D6)/12</f>
        <v>26352.675525116138</v>
      </c>
      <c r="E5" s="59" t="s">
        <v>132</v>
      </c>
      <c r="F5" s="59">
        <f>((('Tabla 7'!F6+'Tabla 7'!G6+'Tabla 7'!I6)*1000000)/'Tabla 4'!F6)/12</f>
        <v>52370.912213374977</v>
      </c>
      <c r="G5" s="60">
        <f>+'Tabla 1'!K10*1000000/('Tabla 1'!C10*12)</f>
        <v>534624.12207911187</v>
      </c>
      <c r="H5" s="61">
        <f t="shared" ref="H5:H18" si="0">+F5/G5</f>
        <v>9.7958378701111626E-2</v>
      </c>
      <c r="I5" s="22"/>
      <c r="J5" s="22"/>
      <c r="L5" s="22"/>
      <c r="M5" s="22"/>
      <c r="N5" s="22"/>
      <c r="O5" s="22"/>
      <c r="P5" s="22"/>
    </row>
    <row r="6" spans="2:16" x14ac:dyDescent="0.25">
      <c r="B6" s="58">
        <v>2011</v>
      </c>
      <c r="C6" s="59">
        <f>(('Tabla 7'!F7*1000000)/'Tabla 4'!C7)/12</f>
        <v>78613.333485545605</v>
      </c>
      <c r="D6" s="59">
        <f>(('Tabla 7'!G7*1000000)/'Tabla 4'!D7)/12</f>
        <v>39877.419707577879</v>
      </c>
      <c r="E6" s="59" t="s">
        <v>132</v>
      </c>
      <c r="F6" s="59">
        <f>((('Tabla 7'!F7+'Tabla 7'!G7+'Tabla 7'!I7)*1000000)/'Tabla 4'!F7)/12</f>
        <v>58516.697497256762</v>
      </c>
      <c r="G6" s="60">
        <f>+'Tabla 1'!K11*1000000/('Tabla 1'!C11*12)</f>
        <v>580726.89836808632</v>
      </c>
      <c r="H6" s="61">
        <f t="shared" si="0"/>
        <v>0.10076457223127747</v>
      </c>
      <c r="I6" s="22"/>
      <c r="J6" s="22"/>
      <c r="K6" s="22"/>
      <c r="L6" s="22"/>
      <c r="M6" s="22"/>
      <c r="N6" s="22"/>
      <c r="O6" s="22"/>
      <c r="P6" s="22"/>
    </row>
    <row r="7" spans="2:16" x14ac:dyDescent="0.25">
      <c r="B7" s="58">
        <v>2012</v>
      </c>
      <c r="C7" s="59">
        <f>(('Tabla 7'!F8*1000000)/'Tabla 4'!C8)/12</f>
        <v>80567.696940756956</v>
      </c>
      <c r="D7" s="59">
        <f>(('Tabla 7'!G8*1000000)/'Tabla 4'!D8)/12</f>
        <v>43455.277261927338</v>
      </c>
      <c r="E7" s="59" t="s">
        <v>132</v>
      </c>
      <c r="F7" s="59">
        <f>((('Tabla 7'!F8+'Tabla 7'!G8+'Tabla 7'!I8)*1000000)/'Tabla 4'!F8)/12</f>
        <v>59387.657770425991</v>
      </c>
      <c r="G7" s="60">
        <f>+'Tabla 1'!K12*1000000/('Tabla 1'!C12*12)</f>
        <v>615339.3675979831</v>
      </c>
      <c r="H7" s="61">
        <f t="shared" si="0"/>
        <v>9.6512040180769754E-2</v>
      </c>
      <c r="I7" s="22"/>
      <c r="J7" s="22"/>
      <c r="K7" s="22"/>
      <c r="L7" s="22"/>
      <c r="M7" s="22"/>
      <c r="N7" s="22"/>
      <c r="O7" s="22"/>
      <c r="P7" s="22"/>
    </row>
    <row r="8" spans="2:16" x14ac:dyDescent="0.25">
      <c r="B8" s="58">
        <v>2013</v>
      </c>
      <c r="C8" s="59">
        <f>(('Tabla 7'!F9*1000000)/'Tabla 4'!C9)/12</f>
        <v>82756.201472038738</v>
      </c>
      <c r="D8" s="59">
        <f>(('Tabla 7'!G9*1000000)/'Tabla 4'!D9)/12</f>
        <v>46621.86354980513</v>
      </c>
      <c r="E8" s="59" t="s">
        <v>132</v>
      </c>
      <c r="F8" s="59">
        <f>((('Tabla 7'!F9+'Tabla 7'!G9+'Tabla 7'!I9)*1000000)/'Tabla 4'!F9)/12</f>
        <v>61284.417772316636</v>
      </c>
      <c r="G8" s="60">
        <f>+'Tabla 1'!K13*1000000/('Tabla 1'!C13*12)</f>
        <v>643840.47222775361</v>
      </c>
      <c r="H8" s="61">
        <f t="shared" si="0"/>
        <v>9.5185718226545021E-2</v>
      </c>
      <c r="I8" s="22"/>
      <c r="J8" s="22"/>
      <c r="K8" s="22"/>
      <c r="L8" s="22"/>
      <c r="M8" s="22"/>
      <c r="N8" s="22"/>
      <c r="O8" s="22"/>
      <c r="P8" s="22"/>
    </row>
    <row r="9" spans="2:16" x14ac:dyDescent="0.25">
      <c r="B9" s="58">
        <v>2014</v>
      </c>
      <c r="C9" s="59">
        <f>(('Tabla 7'!F10*1000000)/'Tabla 4'!C10)/12</f>
        <v>84562.355520111843</v>
      </c>
      <c r="D9" s="59">
        <f>(('Tabla 7'!G10*1000000)/'Tabla 4'!D10)/12</f>
        <v>49477.918137668901</v>
      </c>
      <c r="E9" s="59" t="s">
        <v>132</v>
      </c>
      <c r="F9" s="59">
        <f>((('Tabla 7'!F10+'Tabla 7'!G10+'Tabla 7'!I10)*1000000)/'Tabla 4'!F10)/12</f>
        <v>63061.744238937848</v>
      </c>
      <c r="G9" s="60">
        <f>+'Tabla 1'!K14*1000000/('Tabla 1'!C14*12)</f>
        <v>686629.13855050446</v>
      </c>
      <c r="H9" s="61">
        <f t="shared" si="0"/>
        <v>9.1842511041787644E-2</v>
      </c>
      <c r="I9" s="22"/>
      <c r="J9" s="22"/>
      <c r="K9" s="22"/>
      <c r="L9" s="22"/>
      <c r="M9" s="22"/>
      <c r="N9" s="22"/>
      <c r="O9" s="22"/>
      <c r="P9" s="22"/>
    </row>
    <row r="10" spans="2:16" x14ac:dyDescent="0.25">
      <c r="B10" s="58">
        <v>2015</v>
      </c>
      <c r="C10" s="59">
        <f>(('Tabla 7'!F11*1000000)/'Tabla 4'!C11)/12</f>
        <v>88495.514329431346</v>
      </c>
      <c r="D10" s="59">
        <f>(('Tabla 7'!G11*1000000)/'Tabla 4'!D11)/12</f>
        <v>53100.791253583004</v>
      </c>
      <c r="E10" s="59" t="s">
        <v>132</v>
      </c>
      <c r="F10" s="59">
        <f>((('Tabla 7'!F11+'Tabla 7'!G11+'Tabla 7'!I11)*1000000)/'Tabla 4'!F11)/12</f>
        <v>66121.646071594078</v>
      </c>
      <c r="G10" s="60">
        <f>+'Tabla 1'!K15*1000000/('Tabla 1'!C15*12)</f>
        <v>728737.17282481049</v>
      </c>
      <c r="H10" s="61">
        <f t="shared" si="0"/>
        <v>9.0734559093899575E-2</v>
      </c>
      <c r="I10" s="22"/>
      <c r="J10" s="22"/>
      <c r="K10" s="22"/>
      <c r="L10" s="22"/>
      <c r="M10" s="22"/>
      <c r="N10" s="22"/>
      <c r="O10" s="22"/>
      <c r="P10" s="22"/>
    </row>
    <row r="11" spans="2:16" x14ac:dyDescent="0.25">
      <c r="B11" s="58">
        <v>2016</v>
      </c>
      <c r="C11" s="59">
        <f>(('Tabla 7'!F12*1000000)/'Tabla 4'!C12)/12</f>
        <v>92426.119576901678</v>
      </c>
      <c r="D11" s="59">
        <f>(('Tabla 7'!G12*1000000)/'Tabla 4'!D12)/12</f>
        <v>56832.219637196984</v>
      </c>
      <c r="E11" s="59" t="s">
        <v>132</v>
      </c>
      <c r="F11" s="59">
        <f>((('Tabla 7'!F12+'Tabla 7'!G12+'Tabla 7'!I12)*1000000)/'Tabla 4'!F12)/12</f>
        <v>69451.821831124646</v>
      </c>
      <c r="G11" s="60">
        <f>+'Tabla 1'!K16*1000000/('Tabla 1'!C16*12)</f>
        <v>764522.83456391993</v>
      </c>
      <c r="H11" s="61">
        <f t="shared" si="0"/>
        <v>9.0843358355332346E-2</v>
      </c>
      <c r="I11" s="22"/>
      <c r="J11" s="22"/>
      <c r="K11" s="22"/>
      <c r="L11" s="22"/>
      <c r="M11" s="22"/>
      <c r="N11" s="22"/>
      <c r="O11" s="22"/>
      <c r="P11" s="22"/>
    </row>
    <row r="12" spans="2:16" x14ac:dyDescent="0.25">
      <c r="B12" s="58">
        <v>2017</v>
      </c>
      <c r="C12" s="59">
        <f>(('Tabla 7'!F13*1000000)/'Tabla 4'!C13)/12</f>
        <v>104559.56292205509</v>
      </c>
      <c r="D12" s="59">
        <f>(('Tabla 7'!G13*1000000)/'Tabla 4'!D13)/12</f>
        <v>64732.49492236942</v>
      </c>
      <c r="E12" s="59" t="s">
        <v>132</v>
      </c>
      <c r="F12" s="59">
        <f>((('Tabla 7'!F13+'Tabla 7'!G13+'Tabla 7'!I13)*1000000)/'Tabla 4'!F13)/12</f>
        <v>78290.271712580681</v>
      </c>
      <c r="G12" s="60">
        <f>+'Tabla 1'!K17*1000000/('Tabla 1'!C17*12)</f>
        <v>798133.92534213734</v>
      </c>
      <c r="H12" s="61">
        <f t="shared" si="0"/>
        <v>9.8091647562807041E-2</v>
      </c>
      <c r="I12" s="22"/>
      <c r="J12" s="22"/>
      <c r="K12" s="22"/>
      <c r="L12" s="22"/>
      <c r="M12" s="22"/>
      <c r="N12" s="22"/>
      <c r="O12" s="22"/>
      <c r="P12" s="22"/>
    </row>
    <row r="13" spans="2:16" x14ac:dyDescent="0.25">
      <c r="B13" s="58">
        <v>2018</v>
      </c>
      <c r="C13" s="59">
        <f>(('Tabla 7'!F14*1000000)/'Tabla 4'!C14)/12</f>
        <v>106276.29738360585</v>
      </c>
      <c r="D13" s="59">
        <f>(('Tabla 7'!G14*1000000)/'Tabla 4'!D14)/12</f>
        <v>66779.798226792569</v>
      </c>
      <c r="E13" s="59" t="s">
        <v>132</v>
      </c>
      <c r="F13" s="59">
        <f>((('Tabla 7'!F14+'Tabla 7'!G14+'Tabla 7'!I14)*1000000)/'Tabla 4'!F14)/12</f>
        <v>79477.045073066154</v>
      </c>
      <c r="G13" s="60">
        <f>+'Tabla 1'!K18*1000000/('Tabla 1'!C18*12)</f>
        <v>828062.19440977916</v>
      </c>
      <c r="H13" s="61">
        <f t="shared" si="0"/>
        <v>9.5979560001184808E-2</v>
      </c>
      <c r="I13" s="53"/>
      <c r="J13" s="22"/>
      <c r="K13" s="22"/>
      <c r="L13" s="22"/>
      <c r="M13" s="22"/>
      <c r="N13" s="22"/>
      <c r="O13" s="22"/>
      <c r="P13" s="22"/>
    </row>
    <row r="14" spans="2:16" x14ac:dyDescent="0.25">
      <c r="B14" s="58">
        <v>2019</v>
      </c>
      <c r="C14" s="59">
        <f>(('Tabla 7'!F15*1000000)/'Tabla 4'!C15)/12</f>
        <v>112059.09136912448</v>
      </c>
      <c r="D14" s="59">
        <f>(('Tabla 7'!G15*1000000)/'Tabla 4'!D15)/12</f>
        <v>73657.237428527922</v>
      </c>
      <c r="E14" s="59" t="s">
        <v>133</v>
      </c>
      <c r="F14" s="59">
        <f>((('Tabla 7'!F15+'Tabla 7'!G15+'Tabla 7'!I15)*1000000)/'Tabla 4'!F15)/12</f>
        <v>85489.913410333087</v>
      </c>
      <c r="G14" s="60">
        <f>+'Tabla 1'!K19*1000000/('Tabla 1'!C19*12)</f>
        <v>842892.82740691735</v>
      </c>
      <c r="H14" s="61">
        <f t="shared" si="0"/>
        <v>0.10142441675928716</v>
      </c>
      <c r="I14" s="22"/>
      <c r="J14" s="22"/>
      <c r="K14" s="22"/>
      <c r="L14" s="22"/>
      <c r="M14" s="22"/>
      <c r="N14" s="22"/>
      <c r="O14" s="22"/>
      <c r="P14" s="22"/>
    </row>
    <row r="15" spans="2:16" x14ac:dyDescent="0.25">
      <c r="B15" s="58">
        <v>2020</v>
      </c>
      <c r="C15" s="59">
        <f>(('Tabla 7'!F16*1000000)/'Tabla 4'!C16)/12</f>
        <v>148897.25171798989</v>
      </c>
      <c r="D15" s="59">
        <f>(('Tabla 7'!G16*1000000)/'Tabla 4'!D16)/12</f>
        <v>104287.2422627035</v>
      </c>
      <c r="E15" s="59" t="s">
        <v>133</v>
      </c>
      <c r="F15" s="59">
        <f>((('Tabla 7'!F16+'Tabla 7'!G16+'Tabla 7'!I16)*1000000)/'Tabla 4'!F16)/12</f>
        <v>116881.06037987633</v>
      </c>
      <c r="G15" s="60">
        <f>+'Tabla 1'!K20*1000000/('Tabla 1'!C20*12)</f>
        <v>864071.21044623153</v>
      </c>
      <c r="H15" s="61">
        <f t="shared" si="0"/>
        <v>0.13526785636049088</v>
      </c>
      <c r="I15" s="22"/>
      <c r="J15" s="22"/>
      <c r="K15" s="22"/>
      <c r="L15" s="22"/>
      <c r="M15" s="22"/>
      <c r="N15" s="22"/>
      <c r="O15" s="22"/>
      <c r="P15" s="22"/>
    </row>
    <row r="16" spans="2:16" x14ac:dyDescent="0.25">
      <c r="B16" s="58">
        <v>2021</v>
      </c>
      <c r="C16" s="59">
        <f>(('Tabla 7'!F17*1000000)/'Tabla 4'!C17)/12</f>
        <v>165395.80709591645</v>
      </c>
      <c r="D16" s="59">
        <f>(('Tabla 7'!G17*1000000)/'Tabla 4'!D17)/12</f>
        <v>121217.1162380819</v>
      </c>
      <c r="E16" s="59" t="s">
        <v>133</v>
      </c>
      <c r="F16" s="59">
        <f>((('Tabla 7'!F17+'Tabla 7'!G17+'Tabla 7'!I17)*1000000)/'Tabla 4'!F17)/12</f>
        <v>132919.50591041092</v>
      </c>
      <c r="G16" s="60">
        <f>+'Tabla 1'!K21*1000000/('Tabla 1'!C21*12)</f>
        <v>1023005.6980366077</v>
      </c>
      <c r="H16" s="61">
        <f t="shared" si="0"/>
        <v>0.12993036711869269</v>
      </c>
      <c r="I16" s="22"/>
      <c r="J16" s="22"/>
      <c r="K16" s="22"/>
      <c r="L16" s="22"/>
      <c r="M16" s="22"/>
      <c r="N16" s="22"/>
      <c r="O16" s="22"/>
      <c r="P16" s="22"/>
    </row>
    <row r="17" spans="2:16" x14ac:dyDescent="0.25">
      <c r="B17" s="58">
        <v>2022</v>
      </c>
      <c r="C17" s="59">
        <f>(('Tabla 7'!F18*1000000)/'AUX Beneficiarios Mensual'!$R$169)/12</f>
        <v>15572.325259010331</v>
      </c>
      <c r="D17" s="59">
        <f>(('Tabla 7'!G18*1000000)/'Tabla 4'!D18)/12</f>
        <v>301938.06050773646</v>
      </c>
      <c r="E17" s="59">
        <f>(('Tabla 7'!I18*1000000)/'Tabla 4'!E18)/11</f>
        <v>163304.68305298232</v>
      </c>
      <c r="F17" s="59">
        <f>((('Tabla 7'!F18+'Tabla 7'!G18+'Tabla 7'!I18)*1000000)/'Tabla 4'!F18)/12</f>
        <v>166539.38247899126</v>
      </c>
      <c r="G17" s="60">
        <f>+'Tabla 1'!K22*1000000/('Tabla 1'!C22*12)</f>
        <v>1118290.7189656219</v>
      </c>
      <c r="H17" s="61">
        <f t="shared" si="0"/>
        <v>0.14892315536074027</v>
      </c>
      <c r="I17" s="22"/>
      <c r="J17" s="22"/>
      <c r="K17" s="22"/>
      <c r="L17" s="22"/>
      <c r="M17" s="22"/>
      <c r="N17" s="22"/>
      <c r="O17" s="22"/>
      <c r="P17" s="22"/>
    </row>
    <row r="18" spans="2:16" x14ac:dyDescent="0.25">
      <c r="B18" s="58">
        <v>2023</v>
      </c>
      <c r="C18" s="421" t="s">
        <v>133</v>
      </c>
      <c r="D18" s="59">
        <f>(('Tabla 7'!G19*1000000)/'Tabla 4'!D19)/12</f>
        <v>231348.69363735055</v>
      </c>
      <c r="E18" s="59">
        <f>(('Tabla 7'!I19*1000000)/'Tabla 4'!E19)/12</f>
        <v>194050.11648538522</v>
      </c>
      <c r="F18" s="59">
        <f>((('Tabla 7'!F19+'Tabla 7'!G19+'Tabla 7'!I19)*1000000)/'Tabla 4'!F19)/12</f>
        <v>196937.34083189364</v>
      </c>
      <c r="G18" s="60">
        <f>+'Tabla 1'!K23*1000000/('Tabla 1'!C23*12)</f>
        <v>1191417.7929337774</v>
      </c>
      <c r="H18" s="61">
        <f t="shared" si="0"/>
        <v>0.16529662558333139</v>
      </c>
      <c r="I18" s="22"/>
      <c r="J18" s="22"/>
      <c r="K18" s="22"/>
      <c r="L18" s="22"/>
      <c r="M18" s="22"/>
      <c r="N18" s="22"/>
      <c r="O18" s="22"/>
      <c r="P18" s="22"/>
    </row>
    <row r="19" spans="2:16" x14ac:dyDescent="0.25">
      <c r="B19" s="58">
        <v>2024</v>
      </c>
      <c r="C19" s="421" t="s">
        <v>133</v>
      </c>
      <c r="D19" s="59">
        <f>(('Tabla 7'!G20*1000000)/'Tabla 4'!D20)/12</f>
        <v>249098.51824505234</v>
      </c>
      <c r="E19" s="59">
        <f>(('Tabla 7'!I20*1000000)/'Tabla 4'!E20)/12</f>
        <v>204211.25561149395</v>
      </c>
      <c r="F19" s="59">
        <f>((('Tabla 7'!F20+'Tabla 7'!G20+'Tabla 7'!I20)*1000000)/'Tabla 4'!F20)/12</f>
        <v>207355.22074506475</v>
      </c>
      <c r="G19" s="60">
        <f>+'Tabla 1'!K24*1000000/('Tabla 1'!C24*12)</f>
        <v>1310577.4963515433</v>
      </c>
      <c r="H19" s="61">
        <f>+F19/G19</f>
        <v>0.15821668029728228</v>
      </c>
      <c r="I19" s="22"/>
      <c r="J19" s="22"/>
      <c r="K19" s="22"/>
      <c r="L19" s="22"/>
      <c r="M19" s="22"/>
      <c r="N19" s="22"/>
      <c r="O19" s="22"/>
      <c r="P19" s="22"/>
    </row>
    <row r="20" spans="2:16" ht="61.5" customHeight="1" x14ac:dyDescent="0.25">
      <c r="B20" s="522" t="s">
        <v>562</v>
      </c>
      <c r="C20" s="522"/>
      <c r="D20" s="522"/>
      <c r="E20" s="522"/>
      <c r="F20" s="522"/>
      <c r="G20" s="522"/>
      <c r="H20" s="522"/>
    </row>
    <row r="39" spans="3:3" x14ac:dyDescent="0.25">
      <c r="C39" s="57"/>
    </row>
    <row r="40" spans="3:3" x14ac:dyDescent="0.25">
      <c r="C40" s="57"/>
    </row>
    <row r="41" spans="3:3" x14ac:dyDescent="0.25">
      <c r="C41" s="57"/>
    </row>
  </sheetData>
  <mergeCells count="2">
    <mergeCell ref="B20:H20"/>
    <mergeCell ref="B2:H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B4B95-3596-47AA-A9B3-E85E7561C7EF}">
  <sheetPr>
    <tabColor rgb="FF009999"/>
  </sheetPr>
  <dimension ref="B2:T43"/>
  <sheetViews>
    <sheetView showGridLines="0" workbookViewId="0"/>
    <sheetView workbookViewId="1"/>
  </sheetViews>
  <sheetFormatPr baseColWidth="10" defaultRowHeight="15" x14ac:dyDescent="0.25"/>
  <cols>
    <col min="1" max="1" width="5.28515625" customWidth="1"/>
    <col min="3" max="3" width="12.85546875" hidden="1" customWidth="1"/>
    <col min="4" max="4" width="10.7109375" hidden="1" customWidth="1"/>
    <col min="5" max="5" width="11.42578125" hidden="1" customWidth="1"/>
    <col min="6" max="6" width="15.140625" customWidth="1"/>
    <col min="7" max="7" width="14.140625" customWidth="1"/>
    <col min="8" max="8" width="13.7109375" customWidth="1"/>
    <col min="9" max="9" width="14.7109375" customWidth="1"/>
    <col min="10" max="10" width="12.7109375" customWidth="1"/>
    <col min="11" max="11" width="13.42578125" customWidth="1"/>
    <col min="12" max="12" width="15.42578125" customWidth="1"/>
    <col min="16" max="16" width="12" bestFit="1" customWidth="1"/>
  </cols>
  <sheetData>
    <row r="2" spans="2:20" ht="37.9" customHeight="1" x14ac:dyDescent="0.25">
      <c r="B2" s="523" t="s">
        <v>651</v>
      </c>
      <c r="C2" s="523"/>
      <c r="D2" s="523"/>
      <c r="E2" s="523"/>
      <c r="F2" s="523"/>
      <c r="G2" s="523"/>
      <c r="H2" s="523"/>
      <c r="I2" s="523"/>
      <c r="J2" s="523"/>
      <c r="K2" s="523"/>
      <c r="L2" s="523"/>
      <c r="Q2" s="22"/>
    </row>
    <row r="3" spans="2:20" ht="19.899999999999999" customHeight="1" x14ac:dyDescent="0.25">
      <c r="B3" s="422"/>
      <c r="C3" s="422"/>
      <c r="D3" s="422"/>
      <c r="E3" s="422"/>
      <c r="F3" s="422"/>
      <c r="G3" s="422"/>
      <c r="H3" s="422"/>
      <c r="I3" s="422"/>
      <c r="J3" s="524" t="s">
        <v>620</v>
      </c>
      <c r="K3" s="524"/>
      <c r="L3" s="524"/>
      <c r="Q3" s="22"/>
    </row>
    <row r="4" spans="2:20" ht="31.15" customHeight="1" x14ac:dyDescent="0.25">
      <c r="B4" s="40" t="s">
        <v>6</v>
      </c>
      <c r="C4" s="40" t="s">
        <v>12</v>
      </c>
      <c r="D4" s="40" t="s">
        <v>11</v>
      </c>
      <c r="E4" s="40" t="s">
        <v>44</v>
      </c>
      <c r="F4" s="439" t="s">
        <v>647</v>
      </c>
      <c r="G4" s="40" t="s">
        <v>67</v>
      </c>
      <c r="H4" s="423" t="s">
        <v>619</v>
      </c>
      <c r="I4" s="423" t="s">
        <v>618</v>
      </c>
      <c r="J4" s="427" t="s">
        <v>648</v>
      </c>
      <c r="K4" s="427" t="s">
        <v>649</v>
      </c>
      <c r="L4" s="427" t="s">
        <v>650</v>
      </c>
      <c r="M4" s="22"/>
      <c r="N4" s="22"/>
      <c r="O4" s="22"/>
      <c r="P4" s="22"/>
      <c r="Q4" s="22"/>
      <c r="R4" s="22"/>
      <c r="S4" s="22"/>
      <c r="T4" s="22"/>
    </row>
    <row r="5" spans="2:20" hidden="1" x14ac:dyDescent="0.25">
      <c r="B5" s="58">
        <v>2009</v>
      </c>
      <c r="C5" s="59">
        <f>(('Tabla 7'!F5*1000000)/'Tabla 4'!C5)/12</f>
        <v>66169.225257208862</v>
      </c>
      <c r="D5" s="59">
        <f>(('Tabla 7'!G5*1000000)/'Tabla 4'!D5)/12</f>
        <v>9431.9949525156353</v>
      </c>
      <c r="E5" s="59" t="s">
        <v>132</v>
      </c>
      <c r="F5" s="59">
        <f>((('Tabla 7'!F5+'Tabla 7'!G5+'Tabla 7'!I5)*1000000)/'Tabla 4'!F5)/12</f>
        <v>44966.20174070575</v>
      </c>
      <c r="G5" s="60">
        <f>+'Tabla 1'!K9*1000000/('Tabla 1'!C9*12)</f>
        <v>468629.57068727567</v>
      </c>
      <c r="H5" s="424"/>
      <c r="I5" s="425"/>
      <c r="J5" s="426">
        <f>+F5/G5</f>
        <v>9.5952548779113314E-2</v>
      </c>
      <c r="K5" s="426"/>
      <c r="L5" s="426"/>
      <c r="M5" s="22"/>
      <c r="N5" s="22"/>
      <c r="O5" s="22"/>
      <c r="P5" s="22"/>
      <c r="Q5" s="22"/>
      <c r="R5" s="22"/>
      <c r="S5" s="22"/>
      <c r="T5" s="22"/>
    </row>
    <row r="6" spans="2:20" hidden="1" x14ac:dyDescent="0.25">
      <c r="B6" s="58">
        <v>2010</v>
      </c>
      <c r="C6" s="59">
        <f>(('Tabla 7'!F6*1000000)/'Tabla 4'!C6)/12</f>
        <v>76030.803237059605</v>
      </c>
      <c r="D6" s="59">
        <f>(('Tabla 7'!G6*1000000)/'Tabla 4'!D6)/12</f>
        <v>26352.675525116138</v>
      </c>
      <c r="E6" s="59" t="s">
        <v>132</v>
      </c>
      <c r="F6" s="59">
        <f>((('Tabla 7'!F6+'Tabla 7'!G6+'Tabla 7'!I6)*1000000)/'Tabla 4'!F6)/12</f>
        <v>52370.912213374977</v>
      </c>
      <c r="G6" s="60">
        <f>+'Tabla 1'!K10*1000000/('Tabla 1'!C10*12)</f>
        <v>534624.12207911187</v>
      </c>
      <c r="H6" s="424"/>
      <c r="I6" s="425"/>
      <c r="J6" s="426">
        <f t="shared" ref="J6:J9" si="0">+F6/G6</f>
        <v>9.7958378701111626E-2</v>
      </c>
      <c r="K6" s="426"/>
      <c r="L6" s="426"/>
      <c r="M6" s="22"/>
      <c r="N6" s="22"/>
      <c r="P6" s="22"/>
      <c r="Q6" s="22"/>
      <c r="R6" s="22"/>
      <c r="S6" s="22"/>
      <c r="T6" s="22"/>
    </row>
    <row r="7" spans="2:20" hidden="1" x14ac:dyDescent="0.25">
      <c r="B7" s="58">
        <v>2011</v>
      </c>
      <c r="C7" s="59">
        <f>(('Tabla 7'!F7*1000000)/'Tabla 4'!C7)/12</f>
        <v>78613.333485545605</v>
      </c>
      <c r="D7" s="59">
        <f>(('Tabla 7'!G7*1000000)/'Tabla 4'!D7)/12</f>
        <v>39877.419707577879</v>
      </c>
      <c r="E7" s="59" t="s">
        <v>132</v>
      </c>
      <c r="F7" s="59">
        <f>((('Tabla 7'!F7+'Tabla 7'!G7+'Tabla 7'!I7)*1000000)/'Tabla 4'!F7)/12</f>
        <v>58516.697497256762</v>
      </c>
      <c r="G7" s="60">
        <f>+'Tabla 1'!K11*1000000/('Tabla 1'!C11*12)</f>
        <v>580726.89836808632</v>
      </c>
      <c r="H7" s="424"/>
      <c r="I7" s="425"/>
      <c r="J7" s="426">
        <f t="shared" si="0"/>
        <v>0.10076457223127747</v>
      </c>
      <c r="K7" s="426"/>
      <c r="L7" s="426"/>
      <c r="M7" s="22"/>
      <c r="N7" s="22"/>
      <c r="O7" s="22"/>
      <c r="P7" s="22"/>
      <c r="Q7" s="22"/>
      <c r="R7" s="22"/>
      <c r="S7" s="22"/>
      <c r="T7" s="22"/>
    </row>
    <row r="8" spans="2:20" hidden="1" x14ac:dyDescent="0.25">
      <c r="B8" s="58">
        <v>2012</v>
      </c>
      <c r="C8" s="59">
        <f>(('Tabla 7'!F8*1000000)/'Tabla 4'!C8)/12</f>
        <v>80567.696940756956</v>
      </c>
      <c r="D8" s="59">
        <f>(('Tabla 7'!G8*1000000)/'Tabla 4'!D8)/12</f>
        <v>43455.277261927338</v>
      </c>
      <c r="E8" s="59" t="s">
        <v>132</v>
      </c>
      <c r="F8" s="59">
        <f>((('Tabla 7'!F8+'Tabla 7'!G8+'Tabla 7'!I8)*1000000)/'Tabla 4'!F8)/12</f>
        <v>59387.657770425991</v>
      </c>
      <c r="G8" s="60">
        <f>+'Tabla 1'!K12*1000000/('Tabla 1'!C12*12)</f>
        <v>615339.3675979831</v>
      </c>
      <c r="H8" s="424"/>
      <c r="I8" s="425"/>
      <c r="J8" s="426">
        <f t="shared" si="0"/>
        <v>9.6512040180769754E-2</v>
      </c>
      <c r="K8" s="426"/>
      <c r="L8" s="426"/>
      <c r="M8" s="22"/>
      <c r="N8" s="22"/>
      <c r="O8" s="22"/>
      <c r="P8" s="22"/>
      <c r="Q8" s="22"/>
      <c r="R8" s="22"/>
      <c r="S8" s="22"/>
      <c r="T8" s="22"/>
    </row>
    <row r="9" spans="2:20" hidden="1" x14ac:dyDescent="0.25">
      <c r="B9" s="58">
        <v>2013</v>
      </c>
      <c r="C9" s="59">
        <f>(('Tabla 7'!F9*1000000)/'Tabla 4'!C9)/12</f>
        <v>82756.201472038738</v>
      </c>
      <c r="D9" s="59">
        <f>(('Tabla 7'!G9*1000000)/'Tabla 4'!D9)/12</f>
        <v>46621.86354980513</v>
      </c>
      <c r="E9" s="59" t="s">
        <v>132</v>
      </c>
      <c r="F9" s="59">
        <f>((('Tabla 7'!F9+'Tabla 7'!G9+'Tabla 7'!I9)*1000000)/'Tabla 4'!F9)/12</f>
        <v>61284.417772316636</v>
      </c>
      <c r="G9" s="60">
        <f>+'Tabla 1'!K13*1000000/('Tabla 1'!C13*12)</f>
        <v>643840.47222775361</v>
      </c>
      <c r="H9" s="424"/>
      <c r="I9" s="425"/>
      <c r="J9" s="426">
        <f t="shared" si="0"/>
        <v>9.5185718226545021E-2</v>
      </c>
      <c r="K9" s="426"/>
      <c r="L9" s="426"/>
      <c r="M9" s="22"/>
      <c r="N9" s="22"/>
      <c r="O9" s="22"/>
      <c r="P9" s="22"/>
      <c r="Q9" s="22"/>
      <c r="R9" s="22"/>
      <c r="S9" s="22"/>
      <c r="T9" s="22"/>
    </row>
    <row r="10" spans="2:20" x14ac:dyDescent="0.25">
      <c r="B10" s="58">
        <v>2014</v>
      </c>
      <c r="C10" s="59">
        <f>(('Tabla 7'!F10*1000000)/'Tabla 4'!C10)/12</f>
        <v>84562.355520111843</v>
      </c>
      <c r="D10" s="59">
        <f>(('Tabla 7'!G10*1000000)/'Tabla 4'!D10)/12</f>
        <v>49477.918137668901</v>
      </c>
      <c r="E10" s="59" t="s">
        <v>132</v>
      </c>
      <c r="F10" s="59">
        <f>((('Tabla 7'!F10+'Tabla 7'!G10+'Tabla 7'!I10)*1000000)/'Tabla 4'!F10)/12</f>
        <v>63061.744238937848</v>
      </c>
      <c r="G10" s="60">
        <f>(('Tabla 1'!K14*1000000)/12)/('Tabla 1'!C14)</f>
        <v>686629.13855050434</v>
      </c>
      <c r="H10" s="424">
        <f>AVERAGEIFS('AUX Línea de pobreza'!$K:$K,'AUX Línea de pobreza'!$B:$B,'Tabla 5'!$B10)*AVERAGEIFS('AUX UF'!$H:$H,'AUX UF'!$G:$G,$B10)</f>
        <v>139993.25319775802</v>
      </c>
      <c r="I10" s="424">
        <f>AVERAGEIFS('AUX Línea de pobreza'!$L:$L,'AUX Línea de pobreza'!$B:$B,'Tabla 5'!$B10)*AVERAGEIFS('AUX UF'!$H:$H,'AUX UF'!$G:$G,$B10)</f>
        <v>93328.835465172015</v>
      </c>
      <c r="J10" s="463">
        <f>+$F10/G10</f>
        <v>9.1842511041787672E-2</v>
      </c>
      <c r="K10" s="463">
        <f t="shared" ref="K10" si="1">+$F10/H10</f>
        <v>0.45046273872823878</v>
      </c>
      <c r="L10" s="463">
        <f>+$F10/I10</f>
        <v>0.67569410809235819</v>
      </c>
      <c r="M10" s="22"/>
      <c r="N10" s="22"/>
      <c r="O10" s="22"/>
      <c r="P10" s="22"/>
      <c r="Q10" s="22"/>
      <c r="R10" s="22"/>
      <c r="S10" s="22"/>
      <c r="T10" s="22"/>
    </row>
    <row r="11" spans="2:20" x14ac:dyDescent="0.25">
      <c r="B11" s="58">
        <v>2015</v>
      </c>
      <c r="C11" s="59">
        <f>(('Tabla 7'!F11*1000000)/'Tabla 4'!C11)/12</f>
        <v>88495.514329431346</v>
      </c>
      <c r="D11" s="59">
        <f>(('Tabla 7'!G11*1000000)/'Tabla 4'!D11)/12</f>
        <v>53100.791253583004</v>
      </c>
      <c r="E11" s="59" t="s">
        <v>132</v>
      </c>
      <c r="F11" s="59">
        <f>((('Tabla 7'!F11+'Tabla 7'!G11+'Tabla 7'!I11)*1000000)/'Tabla 4'!F11)/12</f>
        <v>66121.646071594078</v>
      </c>
      <c r="G11" s="60">
        <f>(('Tabla 1'!K15*1000000)/12)/('Tabla 1'!C15)</f>
        <v>728737.17282481049</v>
      </c>
      <c r="H11" s="424">
        <f>AVERAGEIFS('AUX Línea de pobreza'!$K:$K,'AUX Línea de pobreza'!$B:$B,'Tabla 5'!$B11)*AVERAGEIFS('AUX UF'!$H:$H,'AUX UF'!$G:$G,$B11)</f>
        <v>147808.126139008</v>
      </c>
      <c r="I11" s="424">
        <f>AVERAGEIFS('AUX Línea de pobreza'!$L:$L,'AUX Línea de pobreza'!$B:$B,'Tabla 5'!$B11)*AVERAGEIFS('AUX UF'!$H:$H,'AUX UF'!$G:$G,$B11)</f>
        <v>98538.780441223091</v>
      </c>
      <c r="J11" s="463">
        <f t="shared" ref="J11:J20" si="2">+$F11/G11</f>
        <v>9.0734559093899575E-2</v>
      </c>
      <c r="K11" s="463">
        <f t="shared" ref="K11:K20" si="3">+$F11/H11</f>
        <v>0.44734784073650419</v>
      </c>
      <c r="L11" s="463">
        <f t="shared" ref="L11:L20" si="4">+$F11/I11</f>
        <v>0.67102155897935689</v>
      </c>
      <c r="M11" s="22"/>
      <c r="N11" s="22"/>
      <c r="O11" s="22"/>
      <c r="P11" s="22"/>
      <c r="Q11" s="22"/>
      <c r="R11" s="22"/>
      <c r="S11" s="22"/>
      <c r="T11" s="22"/>
    </row>
    <row r="12" spans="2:20" x14ac:dyDescent="0.25">
      <c r="B12" s="58">
        <v>2016</v>
      </c>
      <c r="C12" s="59">
        <f>(('Tabla 7'!F12*1000000)/'Tabla 4'!C12)/12</f>
        <v>92426.119576901678</v>
      </c>
      <c r="D12" s="59">
        <f>(('Tabla 7'!G12*1000000)/'Tabla 4'!D12)/12</f>
        <v>56832.219637196984</v>
      </c>
      <c r="E12" s="59" t="s">
        <v>132</v>
      </c>
      <c r="F12" s="59">
        <f>((('Tabla 7'!F12+'Tabla 7'!G12+'Tabla 7'!I12)*1000000)/'Tabla 4'!F12)/12</f>
        <v>69451.821831124646</v>
      </c>
      <c r="G12" s="60">
        <f>(('Tabla 1'!K16*1000000)/12)/('Tabla 1'!C16)</f>
        <v>764522.83456391993</v>
      </c>
      <c r="H12" s="424">
        <f>AVERAGEIFS('AUX Línea de pobreza'!$K:$K,'AUX Línea de pobreza'!$B:$B,'Tabla 5'!$B12)*AVERAGEIFS('AUX UF'!$H:$H,'AUX UF'!$G:$G,$B12)</f>
        <v>153669.50072239645</v>
      </c>
      <c r="I12" s="424">
        <f>AVERAGEIFS('AUX Línea de pobreza'!$L:$L,'AUX Línea de pobreza'!$B:$B,'Tabla 5'!$B12)*AVERAGEIFS('AUX UF'!$H:$H,'AUX UF'!$G:$G,$B12)</f>
        <v>102446.27774655755</v>
      </c>
      <c r="J12" s="463">
        <f t="shared" si="2"/>
        <v>9.0843358355332346E-2</v>
      </c>
      <c r="K12" s="463">
        <f t="shared" si="3"/>
        <v>0.45195579802519942</v>
      </c>
      <c r="L12" s="463">
        <f t="shared" si="4"/>
        <v>0.67793406806777223</v>
      </c>
      <c r="M12" s="22"/>
      <c r="N12" s="22"/>
      <c r="O12" s="22"/>
      <c r="P12" s="22"/>
      <c r="Q12" s="22"/>
      <c r="R12" s="22"/>
      <c r="S12" s="22"/>
      <c r="T12" s="22"/>
    </row>
    <row r="13" spans="2:20" x14ac:dyDescent="0.25">
      <c r="B13" s="58">
        <v>2017</v>
      </c>
      <c r="C13" s="59">
        <f>(('Tabla 7'!F13*1000000)/'Tabla 4'!C13)/12</f>
        <v>104559.56292205509</v>
      </c>
      <c r="D13" s="59">
        <f>(('Tabla 7'!G13*1000000)/'Tabla 4'!D13)/12</f>
        <v>64732.49492236942</v>
      </c>
      <c r="E13" s="59" t="s">
        <v>132</v>
      </c>
      <c r="F13" s="59">
        <f>((('Tabla 7'!F13+'Tabla 7'!G13+'Tabla 7'!I13)*1000000)/'Tabla 4'!F13)/12</f>
        <v>78290.271712580681</v>
      </c>
      <c r="G13" s="60">
        <f>(('Tabla 1'!K17*1000000)/12)/('Tabla 1'!C17)</f>
        <v>798133.92534213734</v>
      </c>
      <c r="H13" s="424">
        <f>AVERAGEIFS('AUX Línea de pobreza'!$K:$K,'AUX Línea de pobreza'!$B:$B,'Tabla 5'!$B13)*AVERAGEIFS('AUX UF'!$H:$H,'AUX UF'!$G:$G,$B13)</f>
        <v>156457.08724489668</v>
      </c>
      <c r="I13" s="424">
        <f>AVERAGEIFS('AUX Línea de pobreza'!$L:$L,'AUX Línea de pobreza'!$B:$B,'Tabla 5'!$B13)*AVERAGEIFS('AUX UF'!$H:$H,'AUX UF'!$G:$G,$B13)</f>
        <v>104304.72479822555</v>
      </c>
      <c r="J13" s="463">
        <f t="shared" si="2"/>
        <v>9.8091647562807041E-2</v>
      </c>
      <c r="K13" s="463">
        <f t="shared" si="3"/>
        <v>0.50039453687409963</v>
      </c>
      <c r="L13" s="463">
        <f t="shared" si="4"/>
        <v>0.75059180553930738</v>
      </c>
      <c r="M13" s="22"/>
      <c r="N13" s="22"/>
      <c r="O13" s="22"/>
      <c r="P13" s="22"/>
      <c r="Q13" s="22"/>
      <c r="R13" s="22"/>
      <c r="S13" s="22"/>
      <c r="T13" s="22"/>
    </row>
    <row r="14" spans="2:20" x14ac:dyDescent="0.25">
      <c r="B14" s="58">
        <v>2018</v>
      </c>
      <c r="C14" s="59">
        <f>(('Tabla 7'!F14*1000000)/'Tabla 4'!C14)/12</f>
        <v>106276.29738360585</v>
      </c>
      <c r="D14" s="59">
        <f>(('Tabla 7'!G14*1000000)/'Tabla 4'!D14)/12</f>
        <v>66779.798226792569</v>
      </c>
      <c r="E14" s="59" t="s">
        <v>132</v>
      </c>
      <c r="F14" s="59">
        <f>((('Tabla 7'!F14+'Tabla 7'!G14+'Tabla 7'!I14)*1000000)/'Tabla 4'!F14)/12</f>
        <v>79477.045073066154</v>
      </c>
      <c r="G14" s="60">
        <f>(('Tabla 1'!K18*1000000)/12)/('Tabla 1'!C18)</f>
        <v>828062.19440977916</v>
      </c>
      <c r="H14" s="424">
        <f>AVERAGEIFS('AUX Línea de pobreza'!$K:$K,'AUX Línea de pobreza'!$B:$B,'Tabla 5'!$B14)*AVERAGEIFS('AUX UF'!$H:$H,'AUX UF'!$G:$G,$B14)</f>
        <v>161090.04919464589</v>
      </c>
      <c r="I14" s="424">
        <f>AVERAGEIFS('AUX Línea de pobreza'!$L:$L,'AUX Línea de pobreza'!$B:$B,'Tabla 5'!$B14)*AVERAGEIFS('AUX UF'!$H:$H,'AUX UF'!$G:$G,$B14)</f>
        <v>107393.45051350082</v>
      </c>
      <c r="J14" s="463">
        <f t="shared" si="2"/>
        <v>9.5979560001184808E-2</v>
      </c>
      <c r="K14" s="463">
        <f t="shared" si="3"/>
        <v>0.49337029487795148</v>
      </c>
      <c r="L14" s="463">
        <f t="shared" si="4"/>
        <v>0.74005486082295868</v>
      </c>
      <c r="M14" s="53"/>
      <c r="N14" s="22"/>
      <c r="O14" s="22"/>
      <c r="P14" s="22"/>
      <c r="Q14" s="22"/>
      <c r="R14" s="22"/>
      <c r="S14" s="22"/>
      <c r="T14" s="22"/>
    </row>
    <row r="15" spans="2:20" x14ac:dyDescent="0.25">
      <c r="B15" s="58">
        <v>2019</v>
      </c>
      <c r="C15" s="59">
        <f>(('Tabla 7'!F15*1000000)/'Tabla 4'!C15)/12</f>
        <v>112059.09136912448</v>
      </c>
      <c r="D15" s="59">
        <f>(('Tabla 7'!G15*1000000)/'Tabla 4'!D15)/12</f>
        <v>73657.237428527922</v>
      </c>
      <c r="E15" s="59" t="s">
        <v>133</v>
      </c>
      <c r="F15" s="59">
        <f>((('Tabla 7'!F15+'Tabla 7'!G15+'Tabla 7'!I15)*1000000)/'Tabla 4'!F15)/12</f>
        <v>85489.913410333087</v>
      </c>
      <c r="G15" s="60">
        <f>(('Tabla 1'!K19*1000000)/12)/('Tabla 1'!C19)</f>
        <v>842892.82740691735</v>
      </c>
      <c r="H15" s="424">
        <f>AVERAGEIFS('AUX Línea de pobreza'!$K:$K,'AUX Línea de pobreza'!$B:$B,'Tabla 5'!$B15)*AVERAGEIFS('AUX UF'!$H:$H,'AUX UF'!$G:$G,$B15)</f>
        <v>165052.70241647845</v>
      </c>
      <c r="I15" s="424">
        <f>AVERAGEIFS('AUX Línea de pobreza'!$L:$L,'AUX Línea de pobreza'!$B:$B,'Tabla 5'!$B15)*AVERAGEIFS('AUX UF'!$H:$H,'AUX UF'!$G:$G,$B15)</f>
        <v>110035.07952096799</v>
      </c>
      <c r="J15" s="463">
        <f t="shared" si="2"/>
        <v>0.10142441675928716</v>
      </c>
      <c r="K15" s="463">
        <f t="shared" si="3"/>
        <v>0.51795524798264669</v>
      </c>
      <c r="L15" s="463">
        <f t="shared" si="4"/>
        <v>0.77693326330574752</v>
      </c>
      <c r="M15" s="22"/>
      <c r="N15" s="22"/>
      <c r="O15" s="22"/>
      <c r="P15" s="22"/>
      <c r="Q15" s="22"/>
      <c r="R15" s="22"/>
      <c r="S15" s="22"/>
      <c r="T15" s="22"/>
    </row>
    <row r="16" spans="2:20" x14ac:dyDescent="0.25">
      <c r="B16" s="58">
        <v>2020</v>
      </c>
      <c r="C16" s="59">
        <f>(('Tabla 7'!F16*1000000)/'Tabla 4'!C16)/12</f>
        <v>148897.25171798989</v>
      </c>
      <c r="D16" s="59">
        <f>(('Tabla 7'!G16*1000000)/'Tabla 4'!D16)/12</f>
        <v>104287.2422627035</v>
      </c>
      <c r="E16" s="59" t="s">
        <v>133</v>
      </c>
      <c r="F16" s="59">
        <f>((('Tabla 7'!F16+'Tabla 7'!G16+'Tabla 7'!I16)*1000000)/'Tabla 4'!F16)/12</f>
        <v>116881.06037987633</v>
      </c>
      <c r="G16" s="60">
        <f>(('Tabla 1'!K20*1000000)/12)/('Tabla 1'!C20)</f>
        <v>864071.21044623153</v>
      </c>
      <c r="H16" s="424">
        <f>AVERAGEIFS('AUX Línea de pobreza'!$K:$K,'AUX Línea de pobreza'!$B:$B,'Tabla 5'!$B16)*AVERAGEIFS('AUX UF'!$H:$H,'AUX UF'!$G:$G,$B16)</f>
        <v>171654.35878950052</v>
      </c>
      <c r="I16" s="424">
        <f>AVERAGEIFS('AUX Línea de pobreza'!$L:$L,'AUX Línea de pobreza'!$B:$B,'Tabla 5'!$B16)*AVERAGEIFS('AUX UF'!$H:$H,'AUX UF'!$G:$G,$B16)</f>
        <v>114436.12741466223</v>
      </c>
      <c r="J16" s="463">
        <f t="shared" si="2"/>
        <v>0.13526785636049088</v>
      </c>
      <c r="K16" s="463">
        <f t="shared" si="3"/>
        <v>0.68090936463318941</v>
      </c>
      <c r="L16" s="463">
        <f t="shared" si="4"/>
        <v>1.0213650445925597</v>
      </c>
      <c r="M16" s="22"/>
      <c r="N16" s="22"/>
      <c r="O16" s="22"/>
      <c r="P16" s="22"/>
      <c r="Q16" s="22"/>
      <c r="R16" s="22"/>
      <c r="S16" s="22"/>
      <c r="T16" s="22"/>
    </row>
    <row r="17" spans="2:20" x14ac:dyDescent="0.25">
      <c r="B17" s="58">
        <v>2021</v>
      </c>
      <c r="C17" s="59">
        <f>(('Tabla 7'!F17*1000000)/'Tabla 4'!C17)/12</f>
        <v>165395.80709591645</v>
      </c>
      <c r="D17" s="59">
        <f>(('Tabla 7'!G17*1000000)/'Tabla 4'!D17)/12</f>
        <v>121217.1162380819</v>
      </c>
      <c r="E17" s="59" t="s">
        <v>133</v>
      </c>
      <c r="F17" s="59">
        <f>((('Tabla 7'!F17+'Tabla 7'!G17+'Tabla 7'!I17)*1000000)/'Tabla 4'!F17)/12</f>
        <v>132919.50591041092</v>
      </c>
      <c r="G17" s="60">
        <f>(('Tabla 1'!K21*1000000)/12)/('Tabla 1'!C21)</f>
        <v>1023005.6980366077</v>
      </c>
      <c r="H17" s="424">
        <f>AVERAGEIFS('AUX Línea de pobreza'!$K:$K,'AUX Línea de pobreza'!$B:$B,'Tabla 5'!$B17)*AVERAGEIFS('AUX UF'!$H:$H,'AUX UF'!$G:$G,$B17)</f>
        <v>179515.71445634804</v>
      </c>
      <c r="I17" s="424">
        <f>AVERAGEIFS('AUX Línea de pobreza'!$L:$L,'AUX Línea de pobreza'!$B:$B,'Tabla 5'!$B17)*AVERAGEIFS('AUX UF'!$H:$H,'AUX UF'!$G:$G,$B17)</f>
        <v>119676.86346219471</v>
      </c>
      <c r="J17" s="463">
        <f t="shared" si="2"/>
        <v>0.12993036711869269</v>
      </c>
      <c r="K17" s="463">
        <f t="shared" si="3"/>
        <v>0.74043381835929645</v>
      </c>
      <c r="L17" s="463">
        <f t="shared" si="4"/>
        <v>1.1106533214951735</v>
      </c>
      <c r="M17" s="22"/>
      <c r="N17" s="22"/>
      <c r="O17" s="22"/>
      <c r="P17" s="22"/>
      <c r="Q17" s="22"/>
      <c r="R17" s="22"/>
      <c r="S17" s="22"/>
      <c r="T17" s="22"/>
    </row>
    <row r="18" spans="2:20" x14ac:dyDescent="0.25">
      <c r="B18" s="58">
        <v>2022</v>
      </c>
      <c r="C18" s="59">
        <f>(('Tabla 7'!F18*1000000)/'AUX Beneficiarios Mensual'!$R$169)/12</f>
        <v>15572.325259010331</v>
      </c>
      <c r="D18" s="59">
        <f>(('Tabla 7'!G18*1000000)/'Tabla 4'!D18)/12</f>
        <v>301938.06050773646</v>
      </c>
      <c r="E18" s="59">
        <f>(('Tabla 7'!I18*1000000)/'Tabla 4'!E18)/11</f>
        <v>163304.68305298232</v>
      </c>
      <c r="F18" s="59">
        <f>((('Tabla 7'!F18+'Tabla 7'!G18+'Tabla 7'!I18)*1000000)/'Tabla 4'!F18)/12</f>
        <v>166539.38247899126</v>
      </c>
      <c r="G18" s="60">
        <f>(('Tabla 1'!K22*1000000)/12)/('Tabla 1'!C22)</f>
        <v>1118290.7189656219</v>
      </c>
      <c r="H18" s="424">
        <f>AVERAGEIFS('AUX Línea de pobreza'!$K:$K,'AUX Línea de pobreza'!$B:$B,'Tabla 5'!$B18)*AVERAGEIFS('AUX UF'!$H:$H,'AUX UF'!$G:$G,$B18)</f>
        <v>203526.03974267008</v>
      </c>
      <c r="I18" s="424">
        <f>AVERAGEIFS('AUX Línea de pobreza'!$L:$L,'AUX Línea de pobreza'!$B:$B,'Tabla 5'!$B18)*AVERAGEIFS('AUX UF'!$H:$H,'AUX UF'!$G:$G,$B18)</f>
        <v>135683.94487688257</v>
      </c>
      <c r="J18" s="463">
        <f t="shared" si="2"/>
        <v>0.14892315536074027</v>
      </c>
      <c r="K18" s="463">
        <f t="shared" si="3"/>
        <v>0.81827063843799441</v>
      </c>
      <c r="L18" s="463">
        <f t="shared" si="4"/>
        <v>1.2274066959809167</v>
      </c>
      <c r="M18" s="22"/>
      <c r="N18" s="22"/>
      <c r="O18" s="22"/>
      <c r="P18" s="22"/>
      <c r="Q18" s="22"/>
      <c r="R18" s="22"/>
      <c r="S18" s="22"/>
      <c r="T18" s="22"/>
    </row>
    <row r="19" spans="2:20" x14ac:dyDescent="0.25">
      <c r="B19" s="58">
        <v>2023</v>
      </c>
      <c r="C19" s="421" t="s">
        <v>133</v>
      </c>
      <c r="D19" s="59">
        <f>(('Tabla 7'!G19*1000000)/'Tabla 4'!D19)/12</f>
        <v>231348.69363735055</v>
      </c>
      <c r="E19" s="59">
        <f>(('Tabla 7'!I19*1000000)/'Tabla 4'!E19)/12</f>
        <v>194050.11648538522</v>
      </c>
      <c r="F19" s="59">
        <f>((('Tabla 7'!F19+'Tabla 7'!G19+'Tabla 7'!I19)*1000000)/'Tabla 4'!F19)/12</f>
        <v>196937.34083189364</v>
      </c>
      <c r="G19" s="60">
        <f>(('Tabla 1'!K23*1000000)/12)/('Tabla 1'!C23)</f>
        <v>1191417.7929337777</v>
      </c>
      <c r="H19" s="424">
        <f>AVERAGEIFS('AUX Línea de pobreza'!$K:$K,'AUX Línea de pobreza'!$B:$B,'Tabla 5'!$B19)*AVERAGEIFS('AUX UF'!$H:$H,'AUX UF'!$G:$G,$B19)</f>
        <v>222799.17632306248</v>
      </c>
      <c r="I19" s="424">
        <f>AVERAGEIFS('AUX Línea de pobreza'!$L:$L,'AUX Línea de pobreza'!$B:$B,'Tabla 5'!$B19)*AVERAGEIFS('AUX UF'!$H:$H,'AUX UF'!$G:$G,$B19)</f>
        <v>148532.78433658829</v>
      </c>
      <c r="J19" s="463">
        <f t="shared" si="2"/>
        <v>0.16529662558333136</v>
      </c>
      <c r="K19" s="463">
        <f t="shared" si="3"/>
        <v>0.88392310995948764</v>
      </c>
      <c r="L19" s="463">
        <f t="shared" si="4"/>
        <v>1.3258846638572155</v>
      </c>
      <c r="M19" s="22"/>
      <c r="N19" s="22"/>
      <c r="O19" s="22"/>
      <c r="P19" s="22"/>
      <c r="Q19" s="22"/>
      <c r="R19" s="22"/>
      <c r="S19" s="22"/>
      <c r="T19" s="22"/>
    </row>
    <row r="20" spans="2:20" x14ac:dyDescent="0.25">
      <c r="B20" s="58">
        <v>2024</v>
      </c>
      <c r="C20" s="421" t="s">
        <v>133</v>
      </c>
      <c r="D20" s="59">
        <f>(('Tabla 7'!G20*1000000)/'Tabla 4'!D20)/12</f>
        <v>249098.51824505234</v>
      </c>
      <c r="E20" s="59">
        <f>(('Tabla 7'!I20*1000000)/'Tabla 4'!E20)/12</f>
        <v>204211.25561149395</v>
      </c>
      <c r="F20" s="59">
        <f>((('Tabla 7'!F20+'Tabla 7'!G20+'Tabla 7'!I20)*1000000)/'Tabla 4'!F20)/12</f>
        <v>207355.22074506475</v>
      </c>
      <c r="G20" s="60">
        <f>(('Tabla 1'!K24*1000000)/12)/('Tabla 1'!C24)</f>
        <v>1310577.4963515433</v>
      </c>
      <c r="H20" s="424">
        <f>AVERAGEIFS('AUX Línea de pobreza'!$K:$K,'AUX Línea de pobreza'!$B:$B,'Tabla 5'!$B20)*AVERAGEIFS('AUX UF'!$H:$H,'AUX UF'!$G:$G,$B20)</f>
        <v>232009.56635357733</v>
      </c>
      <c r="I20" s="424">
        <f>AVERAGEIFS('AUX Línea de pobreza'!$L:$L,'AUX Línea de pobreza'!$B:$B,'Tabla 5'!$B20)*AVERAGEIFS('AUX UF'!$H:$H,'AUX UF'!$G:$G,$B20)</f>
        <v>154672.93156983284</v>
      </c>
      <c r="J20" s="463">
        <f t="shared" si="2"/>
        <v>0.15821668029728228</v>
      </c>
      <c r="K20" s="463">
        <f t="shared" si="3"/>
        <v>0.89373565066304239</v>
      </c>
      <c r="L20" s="463">
        <f t="shared" si="4"/>
        <v>1.3406044525085279</v>
      </c>
      <c r="M20" s="22"/>
      <c r="N20" s="22"/>
      <c r="O20" s="22"/>
      <c r="P20" s="22"/>
      <c r="Q20" s="22"/>
      <c r="R20" s="22"/>
      <c r="S20" s="22"/>
      <c r="T20" s="22"/>
    </row>
    <row r="21" spans="2:20" x14ac:dyDescent="0.25">
      <c r="B21" s="58">
        <v>2025</v>
      </c>
      <c r="C21" s="421"/>
      <c r="D21" s="59"/>
      <c r="E21" s="59"/>
      <c r="F21" s="59">
        <f>((('Tabla 7'!F21+'Tabla 7'!G21+'Tabla 7'!I21)*1000000)/'Tabla 4'!F21)/12</f>
        <v>217697.09021763442</v>
      </c>
      <c r="G21" s="60">
        <f>(('Tabla 1'!K25*1000000)/12)/('Tabla 1'!C25)</f>
        <v>1404527.9689802374</v>
      </c>
      <c r="H21" s="424">
        <f>AVERAGEIFS('AUX Línea de pobreza'!$K:$K,'AUX Línea de pobreza'!$B:$B,'Tabla 5'!$B21)*AVERAGEIFS('AUX UF'!$H:$H,'AUX UF'!$G:$G,$B21)</f>
        <v>239245.11397148852</v>
      </c>
      <c r="I21" s="424">
        <f>AVERAGEIFS('AUX Línea de pobreza'!$L:$L,'AUX Línea de pobreza'!$B:$B,'Tabla 5'!$B21)*AVERAGEIFS('AUX UF'!$H:$H,'AUX UF'!$G:$G,$B21)</f>
        <v>159496.74502138357</v>
      </c>
      <c r="J21" s="463">
        <f t="shared" ref="J21" si="5">+$F21/G21</f>
        <v>0.15499662165908606</v>
      </c>
      <c r="K21" s="463">
        <f t="shared" ref="K21" si="6">+$F21/H21</f>
        <v>0.90993327555929926</v>
      </c>
      <c r="L21" s="463">
        <f t="shared" ref="L21" si="7">+$F21/I21</f>
        <v>1.3648998930257039</v>
      </c>
      <c r="M21" s="22"/>
      <c r="N21" s="22"/>
      <c r="O21" s="22"/>
      <c r="P21" s="22"/>
      <c r="Q21" s="22"/>
      <c r="R21" s="22"/>
      <c r="S21" s="22"/>
      <c r="T21" s="22"/>
    </row>
    <row r="22" spans="2:20" ht="61.5" customHeight="1" x14ac:dyDescent="0.25">
      <c r="B22" s="525" t="s">
        <v>696</v>
      </c>
      <c r="C22" s="525"/>
      <c r="D22" s="525"/>
      <c r="E22" s="525"/>
      <c r="F22" s="525"/>
      <c r="G22" s="525"/>
      <c r="H22" s="525"/>
      <c r="I22" s="525"/>
      <c r="J22" s="525"/>
      <c r="K22" s="525"/>
      <c r="L22" s="525"/>
    </row>
    <row r="41" spans="3:3" x14ac:dyDescent="0.25">
      <c r="C41" s="57"/>
    </row>
    <row r="42" spans="3:3" x14ac:dyDescent="0.25">
      <c r="C42" s="57"/>
    </row>
    <row r="43" spans="3:3" x14ac:dyDescent="0.25">
      <c r="C43" s="57"/>
    </row>
  </sheetData>
  <mergeCells count="3">
    <mergeCell ref="B2:L2"/>
    <mergeCell ref="J3:L3"/>
    <mergeCell ref="B22:L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9D857-8ACB-4671-B07B-0F731B9D3D92}">
  <sheetPr>
    <tabColor rgb="FF009999"/>
  </sheetPr>
  <dimension ref="B2:J23"/>
  <sheetViews>
    <sheetView showGridLines="0" workbookViewId="0"/>
    <sheetView workbookViewId="1"/>
  </sheetViews>
  <sheetFormatPr baseColWidth="10" defaultRowHeight="15" x14ac:dyDescent="0.25"/>
  <cols>
    <col min="1" max="1" width="8.140625" customWidth="1"/>
    <col min="3" max="3" width="12.7109375" bestFit="1" customWidth="1"/>
    <col min="4" max="5" width="12.85546875" bestFit="1" customWidth="1"/>
    <col min="6" max="6" width="14.140625" customWidth="1"/>
  </cols>
  <sheetData>
    <row r="2" spans="2:10" ht="24.6" customHeight="1" x14ac:dyDescent="0.25">
      <c r="B2" s="526" t="s">
        <v>154</v>
      </c>
      <c r="C2" s="527"/>
      <c r="D2" s="527"/>
      <c r="E2" s="527"/>
      <c r="F2" s="527"/>
      <c r="G2" s="527"/>
    </row>
    <row r="3" spans="2:10" ht="32.25" customHeight="1" x14ac:dyDescent="0.25">
      <c r="B3" s="41" t="s">
        <v>64</v>
      </c>
      <c r="C3" s="41" t="s">
        <v>2</v>
      </c>
      <c r="D3" s="41" t="s">
        <v>4</v>
      </c>
      <c r="E3" s="41" t="s">
        <v>66</v>
      </c>
      <c r="F3" s="41" t="s">
        <v>98</v>
      </c>
      <c r="G3" s="41" t="s">
        <v>31</v>
      </c>
    </row>
    <row r="4" spans="2:10" x14ac:dyDescent="0.25">
      <c r="B4" s="23">
        <v>39783</v>
      </c>
      <c r="C4" s="26">
        <f>VLOOKUP($B4,'AUX Beneficiarios Mensual'!$C$7:$X$1048576,17,FALSE)</f>
        <v>194451</v>
      </c>
      <c r="D4" s="26">
        <f>VLOOKUP($B4,'AUX Beneficiarios Mensual'!$C$7:$X$1048576,20,FALSE)</f>
        <v>700</v>
      </c>
      <c r="E4" s="26">
        <f>+C4+D4</f>
        <v>195151</v>
      </c>
      <c r="F4" s="26">
        <f>'Tabla 1'!D8</f>
        <v>10662805</v>
      </c>
      <c r="G4" s="56">
        <f>+E4/F4</f>
        <v>1.8302032157579549E-2</v>
      </c>
    </row>
    <row r="5" spans="2:10" x14ac:dyDescent="0.25">
      <c r="B5" s="23">
        <v>40148</v>
      </c>
      <c r="C5" s="26">
        <f>VLOOKUP($B5,'AUX Beneficiarios Mensual'!$C$7:$X$1048576,17,FALSE)</f>
        <v>212205</v>
      </c>
      <c r="D5" s="26">
        <f>VLOOKUP($B5,'AUX Beneficiarios Mensual'!$C$7:$X$1048576,20,FALSE)</f>
        <v>8766</v>
      </c>
      <c r="E5" s="26">
        <f t="shared" ref="E5:E19" si="0">+C5+D5</f>
        <v>220971</v>
      </c>
      <c r="F5" s="26">
        <f>'Tabla 1'!D9</f>
        <v>10833362</v>
      </c>
      <c r="G5" s="56">
        <f t="shared" ref="G5:G19" si="1">+E5/F5</f>
        <v>2.0397269102610992E-2</v>
      </c>
      <c r="I5" s="55"/>
      <c r="J5" s="55"/>
    </row>
    <row r="6" spans="2:10" x14ac:dyDescent="0.25">
      <c r="B6" s="23">
        <v>40513</v>
      </c>
      <c r="C6" s="26">
        <f>VLOOKUP($B6,'AUX Beneficiarios Mensual'!$C$7:$X$1048576,17,FALSE)</f>
        <v>216390</v>
      </c>
      <c r="D6" s="26">
        <f>VLOOKUP($B6,'AUX Beneficiarios Mensual'!$C$7:$X$1048576,20,FALSE)</f>
        <v>17371</v>
      </c>
      <c r="E6" s="26">
        <f t="shared" si="0"/>
        <v>233761</v>
      </c>
      <c r="F6" s="26">
        <f>'Tabla 1'!D10</f>
        <v>10995274</v>
      </c>
      <c r="G6" s="56">
        <f t="shared" si="1"/>
        <v>2.1260134126716623E-2</v>
      </c>
      <c r="I6" s="55"/>
      <c r="J6" s="55"/>
    </row>
    <row r="7" spans="2:10" x14ac:dyDescent="0.25">
      <c r="B7" s="23">
        <v>40878</v>
      </c>
      <c r="C7" s="26">
        <f>VLOOKUP($B7,'AUX Beneficiarios Mensual'!$C$7:$X$1048576,17,FALSE)</f>
        <v>213801</v>
      </c>
      <c r="D7" s="26">
        <f>VLOOKUP($B7,'AUX Beneficiarios Mensual'!$C$7:$X$1048576,20,FALSE)</f>
        <v>25904</v>
      </c>
      <c r="E7" s="26">
        <f t="shared" si="0"/>
        <v>239705</v>
      </c>
      <c r="F7" s="26">
        <f>'Tabla 1'!D11</f>
        <v>11149529</v>
      </c>
      <c r="G7" s="56">
        <f t="shared" si="1"/>
        <v>2.1499114446897262E-2</v>
      </c>
      <c r="I7" s="55"/>
      <c r="J7" s="55"/>
    </row>
    <row r="8" spans="2:10" x14ac:dyDescent="0.25">
      <c r="B8" s="23">
        <v>41244</v>
      </c>
      <c r="C8" s="26">
        <f>VLOOKUP($B8,'AUX Beneficiarios Mensual'!$C$7:$X$1048576,17,FALSE)</f>
        <v>194854</v>
      </c>
      <c r="D8" s="26">
        <f>VLOOKUP($B8,'AUX Beneficiarios Mensual'!$C$7:$X$1048576,20,FALSE)</f>
        <v>40164</v>
      </c>
      <c r="E8" s="26">
        <f t="shared" si="0"/>
        <v>235018</v>
      </c>
      <c r="F8" s="26">
        <f>'Tabla 1'!D12</f>
        <v>11294363</v>
      </c>
      <c r="G8" s="56">
        <f t="shared" si="1"/>
        <v>2.0808433375127045E-2</v>
      </c>
      <c r="I8" s="55"/>
      <c r="J8" s="55"/>
    </row>
    <row r="9" spans="2:10" x14ac:dyDescent="0.25">
      <c r="B9" s="23">
        <v>41609</v>
      </c>
      <c r="C9" s="26">
        <f>VLOOKUP($B9,'AUX Beneficiarios Mensual'!$C$7:$X$1048576,17,FALSE)</f>
        <v>186782</v>
      </c>
      <c r="D9" s="26">
        <f>VLOOKUP($B9,'AUX Beneficiarios Mensual'!$C$7:$X$1048576,20,FALSE)</f>
        <v>54475</v>
      </c>
      <c r="E9" s="26">
        <f t="shared" si="0"/>
        <v>241257</v>
      </c>
      <c r="F9" s="26">
        <f>'Tabla 1'!D13</f>
        <v>11435018</v>
      </c>
      <c r="G9" s="56">
        <f t="shared" si="1"/>
        <v>2.1098086596802908E-2</v>
      </c>
      <c r="I9" s="55"/>
      <c r="J9" s="55"/>
    </row>
    <row r="10" spans="2:10" x14ac:dyDescent="0.25">
      <c r="B10" s="23">
        <v>41974</v>
      </c>
      <c r="C10" s="26">
        <f>VLOOKUP($B10,'AUX Beneficiarios Mensual'!$C$7:$X$1048576,17,FALSE)</f>
        <v>181546</v>
      </c>
      <c r="D10" s="26">
        <f>VLOOKUP($B10,'AUX Beneficiarios Mensual'!$C$7:$X$1048576,20,FALSE)</f>
        <v>62681</v>
      </c>
      <c r="E10" s="26">
        <f t="shared" si="0"/>
        <v>244227</v>
      </c>
      <c r="F10" s="26">
        <f>'Tabla 1'!D14</f>
        <v>11576957</v>
      </c>
      <c r="G10" s="56">
        <f t="shared" si="1"/>
        <v>2.1095958117491497E-2</v>
      </c>
      <c r="I10" s="55"/>
      <c r="J10" s="55"/>
    </row>
    <row r="11" spans="2:10" x14ac:dyDescent="0.25">
      <c r="B11" s="23">
        <v>42339</v>
      </c>
      <c r="C11" s="26">
        <f>VLOOKUP($B11,'AUX Beneficiarios Mensual'!$C$7:$X$1048576,17,FALSE)</f>
        <v>179778</v>
      </c>
      <c r="D11" s="26">
        <f>VLOOKUP($B11,'AUX Beneficiarios Mensual'!$C$7:$X$1048576,20,FALSE)</f>
        <v>65127</v>
      </c>
      <c r="E11" s="26">
        <f t="shared" si="0"/>
        <v>244905</v>
      </c>
      <c r="F11" s="26">
        <f>'Tabla 1'!D15</f>
        <v>11706922</v>
      </c>
      <c r="G11" s="56">
        <f t="shared" si="1"/>
        <v>2.0919674701855875E-2</v>
      </c>
      <c r="I11" s="55"/>
      <c r="J11" s="55"/>
    </row>
    <row r="12" spans="2:10" x14ac:dyDescent="0.25">
      <c r="B12" s="23">
        <v>42705</v>
      </c>
      <c r="C12" s="26">
        <f>VLOOKUP($B12,'AUX Beneficiarios Mensual'!$C$7:$X$1048576,17,FALSE)</f>
        <v>181321</v>
      </c>
      <c r="D12" s="26">
        <f>VLOOKUP($B12,'AUX Beneficiarios Mensual'!$C$7:$X$1048576,20,FALSE)</f>
        <v>64883</v>
      </c>
      <c r="E12" s="26">
        <f t="shared" si="0"/>
        <v>246204</v>
      </c>
      <c r="F12" s="26">
        <f>'Tabla 1'!D16</f>
        <v>11893991</v>
      </c>
      <c r="G12" s="56">
        <f t="shared" si="1"/>
        <v>2.069986432644854E-2</v>
      </c>
      <c r="I12" s="55"/>
      <c r="J12" s="55"/>
    </row>
    <row r="13" spans="2:10" x14ac:dyDescent="0.25">
      <c r="B13" s="23">
        <v>43070</v>
      </c>
      <c r="C13" s="26">
        <f>VLOOKUP($B13,'AUX Beneficiarios Mensual'!$C$7:$X$1048576,17,FALSE)</f>
        <v>182304</v>
      </c>
      <c r="D13" s="26">
        <f>VLOOKUP($B13,'AUX Beneficiarios Mensual'!$C$7:$X$1048576,20,FALSE)</f>
        <v>64441</v>
      </c>
      <c r="E13" s="26">
        <f t="shared" si="0"/>
        <v>246745</v>
      </c>
      <c r="F13" s="26">
        <f>'Tabla 1'!D17</f>
        <v>12140605</v>
      </c>
      <c r="G13" s="56">
        <f t="shared" si="1"/>
        <v>2.0323945964801589E-2</v>
      </c>
      <c r="I13" s="55"/>
      <c r="J13" s="55"/>
    </row>
    <row r="14" spans="2:10" x14ac:dyDescent="0.25">
      <c r="B14" s="23">
        <v>43435</v>
      </c>
      <c r="C14" s="26">
        <f>VLOOKUP($B14,'AUX Beneficiarios Mensual'!$C$7:$X$1048576,17,FALSE)</f>
        <v>182911</v>
      </c>
      <c r="D14" s="26">
        <f>VLOOKUP($B14,'AUX Beneficiarios Mensual'!$C$7:$X$1048576,20,FALSE)</f>
        <v>66902</v>
      </c>
      <c r="E14" s="26">
        <f t="shared" si="0"/>
        <v>249813</v>
      </c>
      <c r="F14" s="26">
        <f>'Tabla 1'!D18</f>
        <v>12396338</v>
      </c>
      <c r="G14" s="56">
        <f t="shared" si="1"/>
        <v>2.0152161065630832E-2</v>
      </c>
      <c r="I14" s="55"/>
      <c r="J14" s="55"/>
    </row>
    <row r="15" spans="2:10" x14ac:dyDescent="0.25">
      <c r="B15" s="23">
        <v>43800</v>
      </c>
      <c r="C15" s="26">
        <f>VLOOKUP($B15,'AUX Beneficiarios Mensual'!$C$7:$X$1048576,17,FALSE)</f>
        <v>181957</v>
      </c>
      <c r="D15" s="26">
        <f>VLOOKUP($B15,'AUX Beneficiarios Mensual'!$C$7:$X$1048576,20,FALSE)</f>
        <v>68332</v>
      </c>
      <c r="E15" s="26">
        <f t="shared" si="0"/>
        <v>250289</v>
      </c>
      <c r="F15" s="26">
        <f>'Tabla 1'!D19</f>
        <v>12598705</v>
      </c>
      <c r="G15" s="56">
        <f t="shared" si="1"/>
        <v>1.9866248158044816E-2</v>
      </c>
      <c r="I15" s="377"/>
      <c r="J15" s="55"/>
    </row>
    <row r="16" spans="2:10" x14ac:dyDescent="0.25">
      <c r="B16" s="23">
        <v>44166</v>
      </c>
      <c r="C16" s="26">
        <f>VLOOKUP($B16,'AUX Beneficiarios Mensual'!$C$7:$X$1048576,17,FALSE)</f>
        <v>181176</v>
      </c>
      <c r="D16" s="26">
        <f>VLOOKUP($B16,'AUX Beneficiarios Mensual'!$C$7:$X$1048576,20,FALSE)</f>
        <v>72694</v>
      </c>
      <c r="E16" s="26">
        <f t="shared" si="0"/>
        <v>253870</v>
      </c>
      <c r="F16" s="26">
        <f>'Tabla 1'!D20</f>
        <v>12659128</v>
      </c>
      <c r="G16" s="56">
        <f t="shared" si="1"/>
        <v>2.0054303898341182E-2</v>
      </c>
      <c r="I16" s="55"/>
      <c r="J16" s="55"/>
    </row>
    <row r="17" spans="2:10" x14ac:dyDescent="0.25">
      <c r="B17" s="23">
        <v>44531</v>
      </c>
      <c r="C17" s="26">
        <f>VLOOKUP($B17,'AUX Beneficiarios Mensual'!$C$7:$X$1048576,17,FALSE)</f>
        <v>182087</v>
      </c>
      <c r="D17" s="26">
        <f>VLOOKUP($B17,'AUX Beneficiarios Mensual'!$C$7:$X$1048576,20,FALSE)</f>
        <v>84750</v>
      </c>
      <c r="E17" s="26">
        <f t="shared" si="0"/>
        <v>266837</v>
      </c>
      <c r="F17" s="26">
        <f>'Tabla 1'!D21</f>
        <v>12734619</v>
      </c>
      <c r="G17" s="56">
        <f t="shared" si="1"/>
        <v>2.0953669677907127E-2</v>
      </c>
      <c r="I17" s="55"/>
      <c r="J17" s="55"/>
    </row>
    <row r="18" spans="2:10" x14ac:dyDescent="0.25">
      <c r="B18" s="23">
        <v>44896</v>
      </c>
      <c r="C18" s="26">
        <f>VLOOKUP($B18,'AUX Beneficiarios Mensual'!$C$7:$X$1048576,17,FALSE)</f>
        <v>185584</v>
      </c>
      <c r="D18" s="26">
        <f>VLOOKUP($B18,'AUX Beneficiarios Mensual'!$C$7:$X$1048576,20,FALSE)</f>
        <v>92698</v>
      </c>
      <c r="E18" s="26">
        <f t="shared" si="0"/>
        <v>278282</v>
      </c>
      <c r="F18" s="26">
        <f>'Tabla 1'!D22</f>
        <v>12796302</v>
      </c>
      <c r="G18" s="56">
        <f t="shared" si="1"/>
        <v>2.1747064112741323E-2</v>
      </c>
      <c r="I18" s="55"/>
      <c r="J18" s="55"/>
    </row>
    <row r="19" spans="2:10" x14ac:dyDescent="0.25">
      <c r="B19" s="23">
        <v>45261</v>
      </c>
      <c r="C19" s="26">
        <f>VLOOKUP($B19,'AUX Beneficiarios Mensual'!$C$7:$X$1048576,17,FALSE)</f>
        <v>192805</v>
      </c>
      <c r="D19" s="26">
        <f>VLOOKUP($B19,'AUX Beneficiarios Mensual'!$C$7:$X$1048576,20,FALSE)</f>
        <v>97569</v>
      </c>
      <c r="E19" s="26">
        <f t="shared" si="0"/>
        <v>290374</v>
      </c>
      <c r="F19" s="26">
        <f>'Tabla 1'!D23</f>
        <v>12861082</v>
      </c>
      <c r="G19" s="56">
        <f t="shared" si="1"/>
        <v>2.2577727130578904E-2</v>
      </c>
      <c r="H19" s="53"/>
      <c r="I19" s="55"/>
      <c r="J19" s="55"/>
    </row>
    <row r="20" spans="2:10" x14ac:dyDescent="0.25">
      <c r="B20" s="23">
        <v>45627</v>
      </c>
      <c r="C20" s="26">
        <f>VLOOKUP($B20,'AUX Beneficiarios Mensual'!$C$7:$X$1048576,17,FALSE)</f>
        <v>200026</v>
      </c>
      <c r="D20" s="26">
        <f>VLOOKUP($B20,'AUX Beneficiarios Mensual'!$C$7:$X$1048576,20,FALSE)</f>
        <v>100480</v>
      </c>
      <c r="E20" s="26">
        <f>+C20+D20</f>
        <v>300506</v>
      </c>
      <c r="F20" s="26">
        <f>'Tabla 1'!D24</f>
        <v>12910863</v>
      </c>
      <c r="G20" s="56">
        <f>+E20/F20</f>
        <v>2.3275438675168344E-2</v>
      </c>
      <c r="H20" s="53"/>
      <c r="I20" s="55"/>
      <c r="J20" s="55"/>
    </row>
    <row r="21" spans="2:10" x14ac:dyDescent="0.25">
      <c r="B21" s="23">
        <v>45992</v>
      </c>
      <c r="C21" s="26">
        <f>VLOOKUP($B21,'AUX Beneficiarios Mensual'!$C$7:$X$1048576,17,FALSE)</f>
        <v>204470</v>
      </c>
      <c r="D21" s="26">
        <f>VLOOKUP($B21,'AUX Beneficiarios Mensual'!$C$7:$X$1048576,20,FALSE)</f>
        <v>104699</v>
      </c>
      <c r="E21" s="26">
        <f>+C21+D21</f>
        <v>309169</v>
      </c>
      <c r="F21" s="26">
        <f>'Tabla 1'!D25</f>
        <v>12956810</v>
      </c>
      <c r="G21" s="56">
        <f>+E21/F21</f>
        <v>2.3861506034278498E-2</v>
      </c>
      <c r="H21" s="53"/>
      <c r="I21" s="55"/>
      <c r="J21" s="55"/>
    </row>
    <row r="22" spans="2:10" ht="26.25" customHeight="1" x14ac:dyDescent="0.25">
      <c r="B22" s="528" t="s">
        <v>677</v>
      </c>
      <c r="C22" s="529"/>
      <c r="D22" s="529"/>
      <c r="E22" s="529"/>
      <c r="F22" s="529"/>
      <c r="G22" s="529"/>
    </row>
    <row r="23" spans="2:10" ht="26.25" customHeight="1" x14ac:dyDescent="0.25"/>
  </sheetData>
  <mergeCells count="2">
    <mergeCell ref="B2:G2"/>
    <mergeCell ref="B22:G22"/>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1A9B7-0BEB-4333-A444-8C11D2DD28AA}">
  <sheetPr>
    <tabColor rgb="FF009999"/>
  </sheetPr>
  <dimension ref="B2:N22"/>
  <sheetViews>
    <sheetView showGridLines="0" workbookViewId="0"/>
    <sheetView workbookViewId="1"/>
  </sheetViews>
  <sheetFormatPr baseColWidth="10" defaultRowHeight="15" x14ac:dyDescent="0.25"/>
  <cols>
    <col min="1" max="1" width="4" customWidth="1"/>
    <col min="2" max="2" width="10.7109375" bestFit="1" customWidth="1"/>
    <col min="3" max="3" width="12.5703125" bestFit="1" customWidth="1"/>
    <col min="4" max="4" width="12.7109375" bestFit="1" customWidth="1"/>
    <col min="5" max="8" width="14" bestFit="1" customWidth="1"/>
    <col min="9" max="9" width="11" bestFit="1" customWidth="1"/>
    <col min="10" max="10" width="14.5703125" bestFit="1" customWidth="1"/>
    <col min="11" max="11" width="20.28515625" bestFit="1" customWidth="1"/>
  </cols>
  <sheetData>
    <row r="2" spans="2:12" x14ac:dyDescent="0.25">
      <c r="B2" s="530" t="s">
        <v>644</v>
      </c>
      <c r="C2" s="530"/>
      <c r="D2" s="530"/>
      <c r="E2" s="530"/>
      <c r="F2" s="530"/>
      <c r="G2" s="530"/>
      <c r="H2" s="530"/>
      <c r="I2" s="530"/>
      <c r="J2" s="530"/>
      <c r="K2" s="530"/>
      <c r="L2" s="530"/>
    </row>
    <row r="3" spans="2:12" ht="24" x14ac:dyDescent="0.25">
      <c r="B3" s="52" t="s">
        <v>135</v>
      </c>
      <c r="C3" s="62" t="s">
        <v>136</v>
      </c>
      <c r="D3" s="62" t="s">
        <v>137</v>
      </c>
      <c r="E3" s="40" t="s">
        <v>99</v>
      </c>
      <c r="F3" s="62" t="s">
        <v>138</v>
      </c>
      <c r="G3" s="62" t="s">
        <v>139</v>
      </c>
      <c r="H3" s="62" t="s">
        <v>140</v>
      </c>
      <c r="I3" s="62" t="s">
        <v>141</v>
      </c>
      <c r="J3" s="52" t="s">
        <v>100</v>
      </c>
      <c r="K3" s="40" t="s">
        <v>142</v>
      </c>
      <c r="L3" s="40" t="s">
        <v>608</v>
      </c>
    </row>
    <row r="4" spans="2:12" x14ac:dyDescent="0.25">
      <c r="B4" s="30">
        <f>'AUX Gasto Nominal'!B6</f>
        <v>2008</v>
      </c>
      <c r="C4" s="28">
        <f>'AUX Gasto Nominal'!C6</f>
        <v>68680.062411455714</v>
      </c>
      <c r="D4" s="28">
        <f>'AUX Gasto Nominal'!D6</f>
        <v>146.86595405268275</v>
      </c>
      <c r="E4" s="46">
        <f>'AUX Gasto Nominal'!E6</f>
        <v>68826.9283655084</v>
      </c>
      <c r="F4" s="28">
        <f>'AUX Gasto Nominal'!F6</f>
        <v>119018.1519729601</v>
      </c>
      <c r="G4" s="28">
        <f>'AUX Gasto Nominal'!G6</f>
        <v>1117.5775571136994</v>
      </c>
      <c r="H4" s="28">
        <f>'AUX Gasto Nominal'!H6</f>
        <v>0</v>
      </c>
      <c r="I4" s="28">
        <f>'AUX Gasto Nominal'!I6</f>
        <v>0</v>
      </c>
      <c r="J4" s="46">
        <f>'AUX Gasto Nominal'!J6</f>
        <v>120135.7295300738</v>
      </c>
      <c r="K4" s="46">
        <f>'AUX Gasto Nominal'!K6</f>
        <v>188962.6578955822</v>
      </c>
      <c r="L4" s="78">
        <f>'AUX Gasto Nominal'!L6</f>
        <v>2.0130867473433628E-3</v>
      </c>
    </row>
    <row r="5" spans="2:12" x14ac:dyDescent="0.25">
      <c r="B5" s="30">
        <f>'AUX Gasto Nominal'!B7</f>
        <v>2009</v>
      </c>
      <c r="C5" s="28">
        <f>'AUX Gasto Nominal'!C7</f>
        <v>178629.28996517768</v>
      </c>
      <c r="D5" s="28">
        <f>'AUX Gasto Nominal'!D7</f>
        <v>4351.5255169110696</v>
      </c>
      <c r="E5" s="46">
        <f>'AUX Gasto Nominal'!E7</f>
        <v>182980.81548208874</v>
      </c>
      <c r="F5" s="28">
        <f>'AUX Gasto Nominal'!F7</f>
        <v>316681.67725058517</v>
      </c>
      <c r="G5" s="28">
        <f>'AUX Gasto Nominal'!G7</f>
        <v>26935.287537717191</v>
      </c>
      <c r="H5" s="28">
        <f>'AUX Gasto Nominal'!H7</f>
        <v>0</v>
      </c>
      <c r="I5" s="28">
        <f>'AUX Gasto Nominal'!I7</f>
        <v>0</v>
      </c>
      <c r="J5" s="46">
        <f>'AUX Gasto Nominal'!J7</f>
        <v>343616.96478830237</v>
      </c>
      <c r="K5" s="46">
        <f>'AUX Gasto Nominal'!K7</f>
        <v>526597.78027039114</v>
      </c>
      <c r="L5" s="78">
        <f>'AUX Gasto Nominal'!L7</f>
        <v>5.4774924170145241E-3</v>
      </c>
    </row>
    <row r="6" spans="2:12" x14ac:dyDescent="0.25">
      <c r="B6" s="30">
        <f>'AUX Gasto Nominal'!B8</f>
        <v>2010</v>
      </c>
      <c r="C6" s="28">
        <f>'AUX Gasto Nominal'!C8</f>
        <v>202827.07728639964</v>
      </c>
      <c r="D6" s="28">
        <f>'AUX Gasto Nominal'!D8</f>
        <v>13634.321621412786</v>
      </c>
      <c r="E6" s="46">
        <f>'AUX Gasto Nominal'!E8</f>
        <v>216461.39890781243</v>
      </c>
      <c r="F6" s="28">
        <f>'AUX Gasto Nominal'!F8</f>
        <v>371442.10262718273</v>
      </c>
      <c r="G6" s="28">
        <f>'AUX Gasto Nominal'!G8</f>
        <v>117074.18546647676</v>
      </c>
      <c r="H6" s="28">
        <f>'AUX Gasto Nominal'!H8</f>
        <v>0</v>
      </c>
      <c r="I6" s="28">
        <f>'AUX Gasto Nominal'!I8</f>
        <v>0</v>
      </c>
      <c r="J6" s="46">
        <f>'AUX Gasto Nominal'!J8</f>
        <v>488516.2880936595</v>
      </c>
      <c r="K6" s="46">
        <f>'AUX Gasto Nominal'!K8</f>
        <v>704977.68700147187</v>
      </c>
      <c r="L6" s="78">
        <f>'AUX Gasto Nominal'!L8</f>
        <v>6.3638857369463214E-3</v>
      </c>
    </row>
    <row r="7" spans="2:12" x14ac:dyDescent="0.25">
      <c r="B7" s="30">
        <f>'AUX Gasto Nominal'!B9</f>
        <v>2011</v>
      </c>
      <c r="C7" s="28">
        <f>'AUX Gasto Nominal'!C9</f>
        <v>204761.55968172164</v>
      </c>
      <c r="D7" s="28">
        <f>'AUX Gasto Nominal'!D9</f>
        <v>21939.207360220757</v>
      </c>
      <c r="E7" s="46">
        <f>'AUX Gasto Nominal'!E9</f>
        <v>226700.7670419424</v>
      </c>
      <c r="F7" s="28">
        <f>'AUX Gasto Nominal'!F9</f>
        <v>382170.23049996357</v>
      </c>
      <c r="G7" s="28">
        <f>'AUX Gasto Nominal'!G9</f>
        <v>209017.17637791182</v>
      </c>
      <c r="H7" s="28">
        <f>'AUX Gasto Nominal'!H9</f>
        <v>0</v>
      </c>
      <c r="I7" s="28">
        <f>'AUX Gasto Nominal'!I9</f>
        <v>0</v>
      </c>
      <c r="J7" s="46">
        <f>'AUX Gasto Nominal'!J9</f>
        <v>591187.40687787533</v>
      </c>
      <c r="K7" s="46">
        <f>'AUX Gasto Nominal'!K9</f>
        <v>817888.17391981767</v>
      </c>
      <c r="L7" s="78">
        <f>'AUX Gasto Nominal'!L9</f>
        <v>6.7310747730596832E-3</v>
      </c>
    </row>
    <row r="8" spans="2:12" x14ac:dyDescent="0.25">
      <c r="B8" s="30">
        <f>'AUX Gasto Nominal'!B10</f>
        <v>2012</v>
      </c>
      <c r="C8" s="28">
        <f>'AUX Gasto Nominal'!C10</f>
        <v>201809.6720013906</v>
      </c>
      <c r="D8" s="28">
        <f>'AUX Gasto Nominal'!D10</f>
        <v>32824.541799008497</v>
      </c>
      <c r="E8" s="46">
        <f>'AUX Gasto Nominal'!E10</f>
        <v>234634.2138003991</v>
      </c>
      <c r="F8" s="28">
        <f>'AUX Gasto Nominal'!F10</f>
        <v>392644.73741605243</v>
      </c>
      <c r="G8" s="28">
        <f>'AUX Gasto Nominal'!G10</f>
        <v>281531.79276464909</v>
      </c>
      <c r="H8" s="28">
        <f>'AUX Gasto Nominal'!H10</f>
        <v>0</v>
      </c>
      <c r="I8" s="28">
        <f>'AUX Gasto Nominal'!I10</f>
        <v>0</v>
      </c>
      <c r="J8" s="46">
        <f>'AUX Gasto Nominal'!J10</f>
        <v>674176.53018070152</v>
      </c>
      <c r="K8" s="46">
        <f>'AUX Gasto Nominal'!K10</f>
        <v>908810.74398110062</v>
      </c>
      <c r="L8" s="78">
        <f>'AUX Gasto Nominal'!L10</f>
        <v>6.992282925833238E-3</v>
      </c>
    </row>
    <row r="9" spans="2:12" x14ac:dyDescent="0.25">
      <c r="B9" s="30">
        <f>'AUX Gasto Nominal'!B11</f>
        <v>2013</v>
      </c>
      <c r="C9" s="28">
        <f>'AUX Gasto Nominal'!C11</f>
        <v>192221.26735428767</v>
      </c>
      <c r="D9" s="28">
        <f>'AUX Gasto Nominal'!D11</f>
        <v>45554.747165912762</v>
      </c>
      <c r="E9" s="46">
        <f>'AUX Gasto Nominal'!E11</f>
        <v>237776.01452020044</v>
      </c>
      <c r="F9" s="28">
        <f>'AUX Gasto Nominal'!F11</f>
        <v>397992.44821855222</v>
      </c>
      <c r="G9" s="28">
        <f>'AUX Gasto Nominal'!G11</f>
        <v>328338.94974840339</v>
      </c>
      <c r="H9" s="28">
        <f>'AUX Gasto Nominal'!H11</f>
        <v>0</v>
      </c>
      <c r="I9" s="28">
        <f>'AUX Gasto Nominal'!I11</f>
        <v>0</v>
      </c>
      <c r="J9" s="46">
        <f>'AUX Gasto Nominal'!J11</f>
        <v>726331.39796695556</v>
      </c>
      <c r="K9" s="46">
        <f>'AUX Gasto Nominal'!K11</f>
        <v>964107.41248715599</v>
      </c>
      <c r="L9" s="78">
        <f>'AUX Gasto Nominal'!L11</f>
        <v>7.0214338774907585E-3</v>
      </c>
    </row>
    <row r="10" spans="2:12" x14ac:dyDescent="0.25">
      <c r="B10" s="30">
        <f>'AUX Gasto Nominal'!B12</f>
        <v>2014</v>
      </c>
      <c r="C10" s="28">
        <f>'AUX Gasto Nominal'!C12</f>
        <v>188526.9351004624</v>
      </c>
      <c r="D10" s="28">
        <f>'AUX Gasto Nominal'!D12</f>
        <v>59105.274564257867</v>
      </c>
      <c r="E10" s="46">
        <f>'AUX Gasto Nominal'!E12</f>
        <v>247632.20966472029</v>
      </c>
      <c r="F10" s="28">
        <f>'AUX Gasto Nominal'!F12</f>
        <v>407579.72962543258</v>
      </c>
      <c r="G10" s="28">
        <f>'AUX Gasto Nominal'!G12</f>
        <v>377464.06879718782</v>
      </c>
      <c r="H10" s="28">
        <f>'AUX Gasto Nominal'!H12</f>
        <v>0</v>
      </c>
      <c r="I10" s="28">
        <f>'AUX Gasto Nominal'!I12</f>
        <v>0</v>
      </c>
      <c r="J10" s="46">
        <f>'AUX Gasto Nominal'!J12</f>
        <v>785043.7984226204</v>
      </c>
      <c r="K10" s="46">
        <f>'AUX Gasto Nominal'!K12</f>
        <v>1032676.0080873407</v>
      </c>
      <c r="L10" s="78">
        <f>'AUX Gasto Nominal'!L12</f>
        <v>6.979837809028837E-3</v>
      </c>
    </row>
    <row r="11" spans="2:12" x14ac:dyDescent="0.25">
      <c r="B11" s="30">
        <f>'AUX Gasto Nominal'!B13</f>
        <v>2015</v>
      </c>
      <c r="C11" s="28">
        <f>'AUX Gasto Nominal'!C13</f>
        <v>194471.22487565401</v>
      </c>
      <c r="D11" s="28">
        <f>'AUX Gasto Nominal'!D13</f>
        <v>65281.455939507585</v>
      </c>
      <c r="E11" s="46">
        <f>'AUX Gasto Nominal'!E13</f>
        <v>259752.68081516158</v>
      </c>
      <c r="F11" s="28">
        <f>'AUX Gasto Nominal'!F13</f>
        <v>424262.36294170126</v>
      </c>
      <c r="G11" s="28">
        <f>'AUX Gasto Nominal'!G13</f>
        <v>437437.30904257129</v>
      </c>
      <c r="H11" s="28">
        <f>'AUX Gasto Nominal'!H13</f>
        <v>0</v>
      </c>
      <c r="I11" s="28">
        <f>'AUX Gasto Nominal'!I13</f>
        <v>0</v>
      </c>
      <c r="J11" s="46">
        <f>'AUX Gasto Nominal'!J13</f>
        <v>861699.67198427254</v>
      </c>
      <c r="K11" s="46">
        <f>'AUX Gasto Nominal'!K13</f>
        <v>1121452.3527994342</v>
      </c>
      <c r="L11" s="78">
        <f>'AUX Gasto Nominal'!L13</f>
        <v>7.0699270574187479E-3</v>
      </c>
    </row>
    <row r="12" spans="2:12" x14ac:dyDescent="0.25">
      <c r="B12" s="30">
        <f>'AUX Gasto Nominal'!B14</f>
        <v>2016</v>
      </c>
      <c r="C12" s="28">
        <f>'AUX Gasto Nominal'!C14</f>
        <v>204643.21487753277</v>
      </c>
      <c r="D12" s="28">
        <f>'AUX Gasto Nominal'!D14</f>
        <v>67934.06757118227</v>
      </c>
      <c r="E12" s="46">
        <f>'AUX Gasto Nominal'!E14</f>
        <v>272577.28244871506</v>
      </c>
      <c r="F12" s="28">
        <f>'AUX Gasto Nominal'!F14</f>
        <v>442149.17994541721</v>
      </c>
      <c r="G12" s="28">
        <f>'AUX Gasto Nominal'!G14</f>
        <v>494954.52876689116</v>
      </c>
      <c r="H12" s="28">
        <f>'AUX Gasto Nominal'!H14</f>
        <v>0</v>
      </c>
      <c r="I12" s="28">
        <f>'AUX Gasto Nominal'!I14</f>
        <v>0</v>
      </c>
      <c r="J12" s="46">
        <f>'AUX Gasto Nominal'!J14</f>
        <v>937103.70871230843</v>
      </c>
      <c r="K12" s="46">
        <f>'AUX Gasto Nominal'!K14</f>
        <v>1209680.9911610235</v>
      </c>
      <c r="L12" s="78">
        <f>'AUX Gasto Nominal'!L14</f>
        <v>7.1678560609699776E-3</v>
      </c>
    </row>
    <row r="13" spans="2:12" x14ac:dyDescent="0.25">
      <c r="B13" s="30">
        <f>'AUX Gasto Nominal'!B15</f>
        <v>2017</v>
      </c>
      <c r="C13" s="28">
        <f>'AUX Gasto Nominal'!C15</f>
        <v>232035.04816615567</v>
      </c>
      <c r="D13" s="28">
        <f>'AUX Gasto Nominal'!D15</f>
        <v>76778.28082023692</v>
      </c>
      <c r="E13" s="46">
        <f>'AUX Gasto Nominal'!E15</f>
        <v>308813.32898639259</v>
      </c>
      <c r="F13" s="28">
        <f>'AUX Gasto Nominal'!F15</f>
        <v>501271.09179588273</v>
      </c>
      <c r="G13" s="28">
        <f>'AUX Gasto Nominal'!G15</f>
        <v>601299.88640390977</v>
      </c>
      <c r="H13" s="28">
        <f>'AUX Gasto Nominal'!H15</f>
        <v>0</v>
      </c>
      <c r="I13" s="28">
        <f>'AUX Gasto Nominal'!I15</f>
        <v>0</v>
      </c>
      <c r="J13" s="46">
        <f>'AUX Gasto Nominal'!J15</f>
        <v>1102570.9781997926</v>
      </c>
      <c r="K13" s="46">
        <f>'AUX Gasto Nominal'!K15</f>
        <v>1411384.3071861851</v>
      </c>
      <c r="L13" s="78">
        <f>'AUX Gasto Nominal'!L15</f>
        <v>7.8709813163413793E-3</v>
      </c>
    </row>
    <row r="14" spans="2:12" x14ac:dyDescent="0.25">
      <c r="B14" s="30">
        <f>'AUX Gasto Nominal'!B16</f>
        <v>2018</v>
      </c>
      <c r="C14" s="28">
        <f>'AUX Gasto Nominal'!C16</f>
        <v>237797.25466446465</v>
      </c>
      <c r="D14" s="28">
        <f>'AUX Gasto Nominal'!D16</f>
        <v>79811.085537875886</v>
      </c>
      <c r="E14" s="46">
        <f>'AUX Gasto Nominal'!E16</f>
        <v>317608.34020234051</v>
      </c>
      <c r="F14" s="28">
        <f>'AUX Gasto Nominal'!F16</f>
        <v>515671.29953359516</v>
      </c>
      <c r="G14" s="28">
        <f>'AUX Gasto Nominal'!G16</f>
        <v>683903.39976587764</v>
      </c>
      <c r="H14" s="28">
        <f>'AUX Gasto Nominal'!H16</f>
        <v>0</v>
      </c>
      <c r="I14" s="28">
        <f>'AUX Gasto Nominal'!I16</f>
        <v>0</v>
      </c>
      <c r="J14" s="46">
        <f>'AUX Gasto Nominal'!J16</f>
        <v>1199574.6992994728</v>
      </c>
      <c r="K14" s="46">
        <f>'AUX Gasto Nominal'!K16</f>
        <v>1517183.0395018132</v>
      </c>
      <c r="L14" s="78">
        <f>'AUX Gasto Nominal'!L16</f>
        <v>8.0089957052014368E-3</v>
      </c>
    </row>
    <row r="15" spans="2:12" x14ac:dyDescent="0.25">
      <c r="B15" s="30">
        <f>'AUX Gasto Nominal'!B17</f>
        <v>2019</v>
      </c>
      <c r="C15" s="28">
        <f>'AUX Gasto Nominal'!C17</f>
        <v>247950.26575009272</v>
      </c>
      <c r="D15" s="28">
        <f>'AUX Gasto Nominal'!D17</f>
        <v>85729.545118914451</v>
      </c>
      <c r="E15" s="46">
        <f>'AUX Gasto Nominal'!E17</f>
        <v>333679.81086900714</v>
      </c>
      <c r="F15" s="28">
        <f>'AUX Gasto Nominal'!F17</f>
        <v>547385.35304716835</v>
      </c>
      <c r="G15" s="28">
        <f>'AUX Gasto Nominal'!G17</f>
        <v>807898.21283471945</v>
      </c>
      <c r="H15" s="28">
        <f>'AUX Gasto Nominal'!H17</f>
        <v>0</v>
      </c>
      <c r="I15" s="28">
        <f>'AUX Gasto Nominal'!I17</f>
        <v>0</v>
      </c>
      <c r="J15" s="46">
        <f>'AUX Gasto Nominal'!J17</f>
        <v>1355283.5658818879</v>
      </c>
      <c r="K15" s="46">
        <f>'AUX Gasto Nominal'!K17</f>
        <v>1688963.3767508951</v>
      </c>
      <c r="L15" s="78">
        <f>'AUX Gasto Nominal'!L17</f>
        <v>8.6377972616481207E-3</v>
      </c>
    </row>
    <row r="16" spans="2:12" x14ac:dyDescent="0.25">
      <c r="B16" s="30">
        <f>'AUX Gasto Nominal'!B18</f>
        <v>2020</v>
      </c>
      <c r="C16" s="28">
        <f>'AUX Gasto Nominal'!C18</f>
        <v>305718.63333393034</v>
      </c>
      <c r="D16" s="28">
        <f>'AUX Gasto Nominal'!D18</f>
        <v>110721.45212611686</v>
      </c>
      <c r="E16" s="46">
        <f>'AUX Gasto Nominal'!E18</f>
        <v>416440.08546004718</v>
      </c>
      <c r="F16" s="28">
        <f>'AUX Gasto Nominal'!F18</f>
        <v>727407.1482288891</v>
      </c>
      <c r="G16" s="28">
        <f>'AUX Gasto Nominal'!G18</f>
        <v>1295192.4852388627</v>
      </c>
      <c r="H16" s="28">
        <f>'AUX Gasto Nominal'!H18</f>
        <v>2.8830338939465561</v>
      </c>
      <c r="I16" s="28">
        <f>'AUX Gasto Nominal'!I18</f>
        <v>0</v>
      </c>
      <c r="J16" s="46">
        <f>'AUX Gasto Nominal'!J18</f>
        <v>2022602.5165016458</v>
      </c>
      <c r="K16" s="46">
        <f>'AUX Gasto Nominal'!K18</f>
        <v>2439042.6019616928</v>
      </c>
      <c r="L16" s="78">
        <f>'AUX Gasto Nominal'!L18</f>
        <v>1.2118999945376043E-2</v>
      </c>
    </row>
    <row r="17" spans="2:14" x14ac:dyDescent="0.25">
      <c r="B17" s="30">
        <f>'AUX Gasto Nominal'!B19</f>
        <v>2021</v>
      </c>
      <c r="C17" s="28">
        <f>'AUX Gasto Nominal'!C19</f>
        <v>350658.34134636825</v>
      </c>
      <c r="D17" s="28">
        <f>'AUX Gasto Nominal'!D19</f>
        <v>136449.47739146321</v>
      </c>
      <c r="E17" s="46">
        <f>'AUX Gasto Nominal'!E19</f>
        <v>487107.81873783143</v>
      </c>
      <c r="F17" s="28">
        <f>'AUX Gasto Nominal'!F19</f>
        <v>820739.64405269595</v>
      </c>
      <c r="G17" s="28">
        <f>'AUX Gasto Nominal'!G19</f>
        <v>1669309.514954058</v>
      </c>
      <c r="H17" s="28">
        <f>'AUX Gasto Nominal'!H19</f>
        <v>8.4361465051949445</v>
      </c>
      <c r="I17" s="28">
        <f>'AUX Gasto Nominal'!I19</f>
        <v>0</v>
      </c>
      <c r="J17" s="46">
        <f>'AUX Gasto Nominal'!J19</f>
        <v>2490057.5951532591</v>
      </c>
      <c r="K17" s="46">
        <f>'AUX Gasto Nominal'!K19</f>
        <v>2977165.4138910905</v>
      </c>
      <c r="L17" s="78">
        <f>'AUX Gasto Nominal'!L19</f>
        <v>1.2435004366642985E-2</v>
      </c>
    </row>
    <row r="18" spans="2:14" x14ac:dyDescent="0.25">
      <c r="B18" s="30">
        <f>'AUX Gasto Nominal'!B20</f>
        <v>2022</v>
      </c>
      <c r="C18" s="28">
        <f>'AUX Gasto Nominal'!C20</f>
        <v>417088.08533423336</v>
      </c>
      <c r="D18" s="28">
        <f>'AUX Gasto Nominal'!D20</f>
        <v>173851.93422254323</v>
      </c>
      <c r="E18" s="46">
        <f>'AUX Gasto Nominal'!E20</f>
        <v>590940.01955677662</v>
      </c>
      <c r="F18" s="28">
        <f>'AUX Gasto Nominal'!F20</f>
        <v>77539.154583588068</v>
      </c>
      <c r="G18" s="28">
        <f>'AUX Gasto Nominal'!G20</f>
        <v>623848.71984193858</v>
      </c>
      <c r="H18" s="28">
        <f>'AUX Gasto Nominal'!H20</f>
        <v>1.099914331250879</v>
      </c>
      <c r="I18" s="28">
        <f>'AUX Gasto Nominal'!I20</f>
        <v>3175441.1085360562</v>
      </c>
      <c r="J18" s="46">
        <f>'AUX Gasto Nominal'!J20</f>
        <v>3876830.0828759139</v>
      </c>
      <c r="K18" s="46">
        <f>'AUX Gasto Nominal'!K20</f>
        <v>4467770.1024326906</v>
      </c>
      <c r="L18" s="78">
        <f>'AUX Gasto Nominal'!L20</f>
        <v>1.6983492983589442E-2</v>
      </c>
    </row>
    <row r="19" spans="2:14" x14ac:dyDescent="0.25">
      <c r="B19" s="30">
        <f>'AUX Gasto Nominal'!B21</f>
        <v>2023</v>
      </c>
      <c r="C19" s="28">
        <f>'AUX Gasto Nominal'!C21</f>
        <v>465965.15190814447</v>
      </c>
      <c r="D19" s="28">
        <f>'AUX Gasto Nominal'!D21</f>
        <v>197440.97772120396</v>
      </c>
      <c r="E19" s="46">
        <f>'AUX Gasto Nominal'!E21</f>
        <v>663406.1296293484</v>
      </c>
      <c r="F19" s="28">
        <f>'AUX Gasto Nominal'!F21</f>
        <v>0</v>
      </c>
      <c r="G19" s="28">
        <f>'AUX Gasto Nominal'!G21</f>
        <v>461365.74419412453</v>
      </c>
      <c r="H19" s="28">
        <f>'AUX Gasto Nominal'!H21</f>
        <v>0</v>
      </c>
      <c r="I19" s="28">
        <f>'AUX Gasto Nominal'!I21</f>
        <v>4612256.1314684348</v>
      </c>
      <c r="J19" s="46">
        <f>'AUX Gasto Nominal'!J21</f>
        <v>5073621.8756625596</v>
      </c>
      <c r="K19" s="46">
        <f>'AUX Gasto Nominal'!K21</f>
        <v>5737028.005291908</v>
      </c>
      <c r="L19" s="78">
        <f>'AUX Gasto Nominal'!L21</f>
        <v>2.0354357365197768E-2</v>
      </c>
      <c r="N19" s="377"/>
    </row>
    <row r="20" spans="2:14" x14ac:dyDescent="0.25">
      <c r="B20" s="30">
        <f>'AUX Gasto Nominal'!B22</f>
        <v>2024</v>
      </c>
      <c r="C20" s="28">
        <f>'AUX Gasto Nominal'!C22</f>
        <v>505177.00093380682</v>
      </c>
      <c r="D20" s="28">
        <f>'AUX Gasto Nominal'!D22</f>
        <v>209976.90959545976</v>
      </c>
      <c r="E20" s="46">
        <f>'AUX Gasto Nominal'!E22</f>
        <v>715153.91052926658</v>
      </c>
      <c r="F20" s="28">
        <f>'AUX Gasto Nominal'!F22</f>
        <v>0</v>
      </c>
      <c r="G20" s="28">
        <f>'AUX Gasto Nominal'!G22</f>
        <v>476335.15413484594</v>
      </c>
      <c r="H20" s="28">
        <f>'AUX Gasto Nominal'!H22</f>
        <v>0</v>
      </c>
      <c r="I20" s="28">
        <f>'AUX Gasto Nominal'!I22</f>
        <v>5184778.3815618362</v>
      </c>
      <c r="J20" s="46">
        <f>'AUX Gasto Nominal'!J22</f>
        <v>5661113.5356966825</v>
      </c>
      <c r="K20" s="46">
        <f>'AUX Gasto Nominal'!K22</f>
        <v>6376267.4462259486</v>
      </c>
      <c r="L20" s="78">
        <f>'AUX Gasto Nominal'!L22</f>
        <v>2.0460961625322637E-2</v>
      </c>
    </row>
    <row r="21" spans="2:14" x14ac:dyDescent="0.25">
      <c r="B21" s="30">
        <v>2025</v>
      </c>
      <c r="C21" s="28">
        <f>'AUX Gasto Nominal'!C23</f>
        <v>564084.9441296194</v>
      </c>
      <c r="D21" s="28">
        <f>'AUX Gasto Nominal'!D23</f>
        <v>236307.02936431734</v>
      </c>
      <c r="E21" s="46">
        <f>'AUX Gasto Nominal'!E23</f>
        <v>800391.9734939367</v>
      </c>
      <c r="F21" s="28">
        <f>'AUX Gasto Nominal'!F23</f>
        <v>0</v>
      </c>
      <c r="G21" s="28">
        <f>'AUX Gasto Nominal'!G23</f>
        <v>481381.32755965431</v>
      </c>
      <c r="H21" s="28">
        <f>'AUX Gasto Nominal'!H23</f>
        <v>0</v>
      </c>
      <c r="I21" s="28">
        <f>'AUX Gasto Nominal'!I23</f>
        <v>5779355.3573955195</v>
      </c>
      <c r="J21" s="46">
        <f>'AUX Gasto Nominal'!J23</f>
        <v>6260736.6849551741</v>
      </c>
      <c r="K21" s="46">
        <f>'AUX Gasto Nominal'!K23</f>
        <v>7061128.6584491106</v>
      </c>
      <c r="L21" s="78">
        <f>'AUX Gasto Nominal'!L23</f>
        <v>2.1047775159991507E-2</v>
      </c>
    </row>
    <row r="22" spans="2:14" ht="28.5" customHeight="1" x14ac:dyDescent="0.25">
      <c r="B22" s="531" t="s">
        <v>700</v>
      </c>
      <c r="C22" s="531"/>
      <c r="D22" s="531"/>
      <c r="E22" s="531"/>
      <c r="F22" s="531"/>
      <c r="G22" s="531"/>
      <c r="H22" s="531"/>
      <c r="I22" s="531"/>
      <c r="J22" s="531"/>
      <c r="K22" s="531"/>
      <c r="L22" s="531"/>
    </row>
  </sheetData>
  <mergeCells count="2">
    <mergeCell ref="B2:L2"/>
    <mergeCell ref="B22:L2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50</vt:i4>
      </vt:variant>
      <vt:variant>
        <vt:lpstr>Rangos con nombre</vt:lpstr>
      </vt:variant>
      <vt:variant>
        <vt:i4>2</vt:i4>
      </vt:variant>
    </vt:vector>
  </HeadingPairs>
  <TitlesOfParts>
    <vt:vector size="52" baseType="lpstr">
      <vt:lpstr>ÍNDICE</vt:lpstr>
      <vt:lpstr>Tabla 1</vt:lpstr>
      <vt:lpstr>Tabla 2</vt:lpstr>
      <vt:lpstr>Tabla 3</vt:lpstr>
      <vt:lpstr>Tabla 4</vt:lpstr>
      <vt:lpstr>Tabla 5 ANTIGUA</vt:lpstr>
      <vt:lpstr>Tabla 5</vt:lpstr>
      <vt:lpstr>Tabla 6</vt:lpstr>
      <vt:lpstr>Tabla 7</vt:lpstr>
      <vt:lpstr>Tabla 8</vt:lpstr>
      <vt:lpstr>Tabla 9</vt:lpstr>
      <vt:lpstr>Tabla 10</vt:lpstr>
      <vt:lpstr>Tabla 11</vt:lpstr>
      <vt:lpstr>Tabla 12</vt:lpstr>
      <vt:lpstr>Tabla 13</vt:lpstr>
      <vt:lpstr>Tabla 1 Anexos</vt:lpstr>
      <vt:lpstr>Tabla 2 Anexos</vt:lpstr>
      <vt:lpstr>Figura 1</vt:lpstr>
      <vt:lpstr>Figura 2</vt:lpstr>
      <vt:lpstr>Figura 3</vt:lpstr>
      <vt:lpstr>Figura 4</vt:lpstr>
      <vt:lpstr>Figura 5</vt:lpstr>
      <vt:lpstr>Figura 6</vt:lpstr>
      <vt:lpstr>Figura 7</vt:lpstr>
      <vt:lpstr>Figura 8</vt:lpstr>
      <vt:lpstr>Figura 9</vt:lpstr>
      <vt:lpstr>Figura 10</vt:lpstr>
      <vt:lpstr>AUX UF</vt:lpstr>
      <vt:lpstr>AUX PIB</vt:lpstr>
      <vt:lpstr>AUX Beneficiarios Mensual</vt:lpstr>
      <vt:lpstr>AUX Gasto Mensual</vt:lpstr>
      <vt:lpstr>AUX Gasto Real</vt:lpstr>
      <vt:lpstr>AUX Gasto Nominal</vt:lpstr>
      <vt:lpstr>AUX Línea de pobreza</vt:lpstr>
      <vt:lpstr>Figura 11</vt:lpstr>
      <vt:lpstr>Figura 12</vt:lpstr>
      <vt:lpstr>Figura 13</vt:lpstr>
      <vt:lpstr>Figura 14</vt:lpstr>
      <vt:lpstr>Figura 15</vt:lpstr>
      <vt:lpstr>Figura 16</vt:lpstr>
      <vt:lpstr>Figuras 17 y 18</vt:lpstr>
      <vt:lpstr>New</vt:lpstr>
      <vt:lpstr>Figura 19</vt:lpstr>
      <vt:lpstr>Figura 20</vt:lpstr>
      <vt:lpstr>Figura 21</vt:lpstr>
      <vt:lpstr>ESI</vt:lpstr>
      <vt:lpstr>Ocupados ENE</vt:lpstr>
      <vt:lpstr>Cot. Dependientes SP</vt:lpstr>
      <vt:lpstr>Cot. Independientes SP</vt:lpstr>
      <vt:lpstr>Cot. Honorarios SP</vt:lpstr>
      <vt:lpstr>'Figuras 17 y 18'!_Hlk167886621</vt:lpstr>
      <vt:lpstr>New!_Hlk167886621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Ivonne Patricia Bueno Velasco</dc:creator>
  <cp:lastModifiedBy>Constanza Morales Lavín</cp:lastModifiedBy>
  <cp:lastPrinted>2015-02-09T17:52:30Z</cp:lastPrinted>
  <dcterms:created xsi:type="dcterms:W3CDTF">2015-02-03T13:35:54Z</dcterms:created>
  <dcterms:modified xsi:type="dcterms:W3CDTF">2026-02-13T20:34:22Z</dcterms:modified>
</cp:coreProperties>
</file>